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MIL-NAS\Desktop\hfletcher\Desktop\"/>
    </mc:Choice>
  </mc:AlternateContent>
  <xr:revisionPtr revIDLastSave="0" documentId="8_{CE0F3E93-0D05-4EFD-AFE4-1716F22258BB}" xr6:coauthVersionLast="47" xr6:coauthVersionMax="47" xr10:uidLastSave="{00000000-0000-0000-0000-000000000000}"/>
  <bookViews>
    <workbookView xWindow="-120" yWindow="-120" windowWidth="29040" windowHeight="15960" tabRatio="928" xr2:uid="{159E55FC-19B9-42B7-9F02-DB595A68E58B}"/>
  </bookViews>
  <sheets>
    <sheet name="NAP Goals &amp; dates" sheetId="1" r:id="rId1"/>
    <sheet name="Application" sheetId="10" r:id="rId2"/>
    <sheet name="Training" sheetId="2" r:id="rId3"/>
    <sheet name="Performance Expectations" sheetId="13" r:id="rId4"/>
    <sheet name="IDP" sheetId="3" r:id="rId5"/>
    <sheet name="Race Predictor Model" sheetId="14" r:id="rId6"/>
    <sheet name="Resources" sheetId="11" r:id="rId7"/>
    <sheet name="Log Book" sheetId="15" r:id="rId8"/>
    <sheet name="Kiwi Number Step Test" sheetId="16" r:id="rId9"/>
    <sheet name="Kick Test" sheetId="6"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6" l="1"/>
  <c r="H77" i="16"/>
  <c r="E77" i="16"/>
  <c r="D77" i="16"/>
  <c r="C77" i="16"/>
  <c r="H76" i="16"/>
  <c r="E76" i="16"/>
  <c r="D76" i="16"/>
  <c r="C76" i="16"/>
  <c r="H75" i="16"/>
  <c r="E75" i="16"/>
  <c r="D75" i="16"/>
  <c r="C75" i="16"/>
  <c r="J74" i="16"/>
  <c r="I74" i="16"/>
  <c r="G74" i="16"/>
  <c r="F74" i="16"/>
  <c r="J73" i="16"/>
  <c r="I73" i="16"/>
  <c r="G73" i="16"/>
  <c r="F73" i="16"/>
  <c r="J72" i="16"/>
  <c r="I72" i="16"/>
  <c r="G72" i="16"/>
  <c r="F72" i="16"/>
  <c r="J71" i="16"/>
  <c r="I71" i="16"/>
  <c r="G71" i="16"/>
  <c r="F71" i="16"/>
  <c r="J70" i="16"/>
  <c r="I70" i="16"/>
  <c r="G70" i="16"/>
  <c r="F70" i="16"/>
  <c r="J69" i="16"/>
  <c r="I69" i="16"/>
  <c r="G69" i="16"/>
  <c r="F69" i="16"/>
  <c r="J68" i="16"/>
  <c r="I68" i="16"/>
  <c r="I75" i="16" s="1"/>
  <c r="G68" i="16"/>
  <c r="G77" i="16" s="1"/>
  <c r="F68" i="16"/>
  <c r="F77" i="16" s="1"/>
  <c r="H62" i="16"/>
  <c r="G62" i="16"/>
  <c r="E62" i="16"/>
  <c r="D62" i="16"/>
  <c r="C62" i="16"/>
  <c r="H61" i="16"/>
  <c r="E61" i="16"/>
  <c r="D61" i="16"/>
  <c r="C61" i="16"/>
  <c r="E60" i="16"/>
  <c r="D60" i="16"/>
  <c r="C60" i="16"/>
  <c r="J59" i="16"/>
  <c r="G59" i="16"/>
  <c r="F59" i="16"/>
  <c r="I59" i="16" s="1"/>
  <c r="J58" i="16"/>
  <c r="G58" i="16"/>
  <c r="F58" i="16"/>
  <c r="I58" i="16" s="1"/>
  <c r="J57" i="16"/>
  <c r="G57" i="16"/>
  <c r="F57" i="16"/>
  <c r="I57" i="16" s="1"/>
  <c r="J56" i="16"/>
  <c r="G56" i="16"/>
  <c r="F56" i="16"/>
  <c r="J55" i="16"/>
  <c r="G55" i="16"/>
  <c r="F55" i="16"/>
  <c r="I55" i="16" s="1"/>
  <c r="J54" i="16"/>
  <c r="G54" i="16"/>
  <c r="F54" i="16"/>
  <c r="J53" i="16"/>
  <c r="J61" i="16" s="1"/>
  <c r="G53" i="16"/>
  <c r="G61" i="16" s="1"/>
  <c r="F53" i="16"/>
  <c r="H47" i="16"/>
  <c r="F47" i="16"/>
  <c r="E47" i="16"/>
  <c r="D47" i="16"/>
  <c r="C47" i="16"/>
  <c r="H46" i="16"/>
  <c r="E46" i="16"/>
  <c r="D46" i="16"/>
  <c r="C46" i="16"/>
  <c r="H45" i="16"/>
  <c r="F45" i="16"/>
  <c r="E45" i="16"/>
  <c r="D45" i="16"/>
  <c r="C45" i="16"/>
  <c r="J44" i="16"/>
  <c r="G44" i="16"/>
  <c r="I44" i="16" s="1"/>
  <c r="F44" i="16"/>
  <c r="J43" i="16"/>
  <c r="G43" i="16"/>
  <c r="F43" i="16"/>
  <c r="I43" i="16" s="1"/>
  <c r="J42" i="16"/>
  <c r="G42" i="16"/>
  <c r="I42" i="16" s="1"/>
  <c r="F42" i="16"/>
  <c r="J41" i="16"/>
  <c r="G41" i="16"/>
  <c r="F41" i="16"/>
  <c r="I41" i="16" s="1"/>
  <c r="J40" i="16"/>
  <c r="G40" i="16"/>
  <c r="I40" i="16" s="1"/>
  <c r="F40" i="16"/>
  <c r="J39" i="16"/>
  <c r="G39" i="16"/>
  <c r="F39" i="16"/>
  <c r="I39" i="16" s="1"/>
  <c r="J38" i="16"/>
  <c r="G38" i="16"/>
  <c r="G47" i="16" s="1"/>
  <c r="F38" i="16"/>
  <c r="F46" i="16" s="1"/>
  <c r="H32" i="16"/>
  <c r="E32" i="16"/>
  <c r="D32" i="16"/>
  <c r="C32" i="16"/>
  <c r="H31" i="16"/>
  <c r="E31" i="16"/>
  <c r="D31" i="16"/>
  <c r="C31" i="16"/>
  <c r="H30" i="16"/>
  <c r="E30" i="16"/>
  <c r="D30" i="16"/>
  <c r="C30" i="16"/>
  <c r="J29" i="16"/>
  <c r="G29" i="16"/>
  <c r="F29" i="16"/>
  <c r="J28" i="16"/>
  <c r="G28" i="16"/>
  <c r="F28" i="16"/>
  <c r="J27" i="16"/>
  <c r="G27" i="16"/>
  <c r="F27" i="16"/>
  <c r="J26" i="16"/>
  <c r="G26" i="16"/>
  <c r="F26" i="16"/>
  <c r="J25" i="16"/>
  <c r="G25" i="16"/>
  <c r="F25" i="16"/>
  <c r="J24" i="16"/>
  <c r="G24" i="16"/>
  <c r="F24" i="16"/>
  <c r="J23" i="16"/>
  <c r="G23" i="16"/>
  <c r="G32" i="16" s="1"/>
  <c r="F23" i="16"/>
  <c r="F32" i="16" s="1"/>
  <c r="H17" i="16"/>
  <c r="E17" i="16"/>
  <c r="D17" i="16"/>
  <c r="C17" i="16"/>
  <c r="H16" i="16"/>
  <c r="E16" i="16"/>
  <c r="D16" i="16"/>
  <c r="C16" i="16"/>
  <c r="H15" i="16"/>
  <c r="E15" i="16"/>
  <c r="D15" i="16"/>
  <c r="C15" i="16"/>
  <c r="J14" i="16"/>
  <c r="G14" i="16"/>
  <c r="F14" i="16"/>
  <c r="J13" i="16"/>
  <c r="G13" i="16"/>
  <c r="F13" i="16"/>
  <c r="J12" i="16"/>
  <c r="G12" i="16"/>
  <c r="F12" i="16"/>
  <c r="J11" i="16"/>
  <c r="G11" i="16"/>
  <c r="F11" i="16"/>
  <c r="J10" i="16"/>
  <c r="G10" i="16"/>
  <c r="F10" i="16"/>
  <c r="J9" i="16"/>
  <c r="G9" i="16"/>
  <c r="F9" i="16"/>
  <c r="J8" i="16"/>
  <c r="G8" i="16"/>
  <c r="F8" i="16"/>
  <c r="J75" i="16" l="1"/>
  <c r="I53" i="16"/>
  <c r="I61" i="16" s="1"/>
  <c r="G60" i="16"/>
  <c r="G76" i="16"/>
  <c r="J47" i="16"/>
  <c r="G46" i="16"/>
  <c r="I56" i="16"/>
  <c r="G45" i="16"/>
  <c r="I54" i="16"/>
  <c r="G75" i="16"/>
  <c r="I38" i="16"/>
  <c r="I46" i="16" s="1"/>
  <c r="I76" i="16"/>
  <c r="J76" i="16"/>
  <c r="J77" i="16"/>
  <c r="I77" i="16"/>
  <c r="F75" i="16"/>
  <c r="F76" i="16"/>
  <c r="J62" i="16"/>
  <c r="J60" i="16"/>
  <c r="F60" i="16"/>
  <c r="F61" i="16"/>
  <c r="F62" i="16"/>
  <c r="J45" i="16"/>
  <c r="J46" i="16"/>
  <c r="I24" i="16"/>
  <c r="I29" i="16"/>
  <c r="I27" i="16"/>
  <c r="I26" i="16"/>
  <c r="I9" i="16"/>
  <c r="I25" i="16"/>
  <c r="I28" i="16"/>
  <c r="J30" i="16"/>
  <c r="I23" i="16"/>
  <c r="J32" i="16"/>
  <c r="J31" i="16"/>
  <c r="F30" i="16"/>
  <c r="F31" i="16"/>
  <c r="G30" i="16"/>
  <c r="G31" i="16"/>
  <c r="G15" i="16"/>
  <c r="I14" i="16"/>
  <c r="F16" i="16"/>
  <c r="I11" i="16"/>
  <c r="I12" i="16"/>
  <c r="I10" i="16"/>
  <c r="I13" i="16"/>
  <c r="F15" i="16"/>
  <c r="F17" i="16"/>
  <c r="G17" i="16"/>
  <c r="I8" i="16"/>
  <c r="J16" i="16"/>
  <c r="G16" i="16"/>
  <c r="J15" i="16"/>
  <c r="J17" i="16"/>
  <c r="I60" i="16" l="1"/>
  <c r="I62" i="16"/>
  <c r="I47" i="16"/>
  <c r="I45" i="16"/>
  <c r="I32" i="16"/>
  <c r="I31" i="16"/>
  <c r="I30" i="16"/>
  <c r="I16" i="16"/>
  <c r="I15" i="16"/>
  <c r="I17" i="16"/>
  <c r="Q103" i="14"/>
  <c r="M103" i="14"/>
  <c r="I103" i="14"/>
  <c r="Q102" i="14"/>
  <c r="M102" i="14"/>
  <c r="I102" i="14"/>
  <c r="Q101" i="14"/>
  <c r="M101" i="14"/>
  <c r="I101" i="14"/>
  <c r="Q100" i="14"/>
  <c r="M100" i="14"/>
  <c r="I100" i="14"/>
  <c r="E100" i="14"/>
  <c r="Q99" i="14"/>
  <c r="M99" i="14"/>
  <c r="I99" i="14"/>
  <c r="E99" i="14"/>
  <c r="E101" i="14" s="1"/>
  <c r="Q96" i="14"/>
  <c r="Q95" i="14"/>
  <c r="I95" i="14"/>
  <c r="Q94" i="14"/>
  <c r="I94" i="14"/>
  <c r="Q93" i="14"/>
  <c r="M93" i="14"/>
  <c r="I93" i="14"/>
  <c r="E93" i="14"/>
  <c r="Q92" i="14"/>
  <c r="M92" i="14"/>
  <c r="M94" i="14" s="1"/>
  <c r="I92" i="14"/>
  <c r="I96" i="14" s="1"/>
  <c r="E92" i="14"/>
  <c r="E94" i="14" s="1"/>
  <c r="Q89" i="14"/>
  <c r="Q88" i="14"/>
  <c r="M88" i="14"/>
  <c r="I88" i="14"/>
  <c r="Q87" i="14"/>
  <c r="M87" i="14"/>
  <c r="I87" i="14"/>
  <c r="Q86" i="14"/>
  <c r="M86" i="14"/>
  <c r="I86" i="14"/>
  <c r="E86" i="14"/>
  <c r="Q85" i="14"/>
  <c r="M85" i="14"/>
  <c r="M89" i="14" s="1"/>
  <c r="I85" i="14"/>
  <c r="I89" i="14" s="1"/>
  <c r="E85" i="14"/>
  <c r="E87" i="14" s="1"/>
  <c r="Q79" i="14"/>
  <c r="M79" i="14"/>
  <c r="I79" i="14"/>
  <c r="Q78" i="14"/>
  <c r="M78" i="14"/>
  <c r="I78" i="14"/>
  <c r="Q77" i="14"/>
  <c r="M77" i="14"/>
  <c r="I77" i="14"/>
  <c r="E77" i="14"/>
  <c r="Q76" i="14"/>
  <c r="Q80" i="14" s="1"/>
  <c r="M76" i="14"/>
  <c r="M80" i="14" s="1"/>
  <c r="I76" i="14"/>
  <c r="I80" i="14" s="1"/>
  <c r="E76" i="14"/>
  <c r="E78" i="14" s="1"/>
  <c r="Q72" i="14"/>
  <c r="I72" i="14"/>
  <c r="Q71" i="14"/>
  <c r="I71" i="14"/>
  <c r="E71" i="14"/>
  <c r="Q70" i="14"/>
  <c r="M70" i="14"/>
  <c r="I70" i="14"/>
  <c r="E70" i="14"/>
  <c r="Q69" i="14"/>
  <c r="Q73" i="14" s="1"/>
  <c r="M69" i="14"/>
  <c r="M71" i="14" s="1"/>
  <c r="I69" i="14"/>
  <c r="I73" i="14" s="1"/>
  <c r="E69" i="14"/>
  <c r="Q65" i="14"/>
  <c r="M65" i="14"/>
  <c r="I65" i="14"/>
  <c r="Q64" i="14"/>
  <c r="M64" i="14"/>
  <c r="I64" i="14"/>
  <c r="Q63" i="14"/>
  <c r="M63" i="14"/>
  <c r="I63" i="14"/>
  <c r="Q62" i="14"/>
  <c r="M62" i="14"/>
  <c r="I62" i="14"/>
  <c r="E62" i="14"/>
  <c r="Q61" i="14"/>
  <c r="Q66" i="14" s="1"/>
  <c r="M61" i="14"/>
  <c r="I61" i="14"/>
  <c r="E61" i="14"/>
  <c r="E63" i="14" s="1"/>
  <c r="F14" i="3"/>
  <c r="F15" i="3"/>
  <c r="F16" i="3"/>
  <c r="F17" i="3"/>
  <c r="F18" i="3"/>
  <c r="F19" i="3"/>
  <c r="F20" i="3"/>
  <c r="F21" i="3"/>
  <c r="F22" i="3"/>
  <c r="F23" i="3"/>
  <c r="D14" i="3"/>
  <c r="D15" i="3"/>
  <c r="D16" i="3"/>
  <c r="D17" i="3"/>
  <c r="D18" i="3"/>
  <c r="D19" i="3"/>
  <c r="D20" i="3"/>
  <c r="D21" i="3"/>
  <c r="D22" i="3"/>
  <c r="D23" i="3"/>
  <c r="F13" i="3"/>
  <c r="D13" i="3"/>
</calcChain>
</file>

<file path=xl/sharedStrings.xml><?xml version="1.0" encoding="utf-8"?>
<sst xmlns="http://schemas.openxmlformats.org/spreadsheetml/2006/main" count="666" uniqueCount="423">
  <si>
    <t>1. Support coaches by adding value to their home programmes and to offer professional development opportunities</t>
  </si>
  <si>
    <t>2. Support the athletes to continue to improve and to enjoy their swimming journey</t>
  </si>
  <si>
    <t>4. Be the world's most skilful swimming nation</t>
  </si>
  <si>
    <t>ACTIVITIES</t>
  </si>
  <si>
    <t>IMPORTANT DATES</t>
  </si>
  <si>
    <t>October</t>
  </si>
  <si>
    <t>December</t>
  </si>
  <si>
    <t>PERSONAL DETAILS</t>
  </si>
  <si>
    <t>Name</t>
  </si>
  <si>
    <t>DOB</t>
  </si>
  <si>
    <t>Athlete email</t>
  </si>
  <si>
    <t>Parent email</t>
  </si>
  <si>
    <t>Club</t>
  </si>
  <si>
    <t>Coach</t>
  </si>
  <si>
    <t>Coach email</t>
  </si>
  <si>
    <t>T-shirt size (S,M,L,XL)</t>
  </si>
  <si>
    <t>PERFORMANCE DETAILS</t>
  </si>
  <si>
    <t>You can find your times here</t>
  </si>
  <si>
    <t>SNZ swimmer results page</t>
  </si>
  <si>
    <t>Standard achieved - type YES in relevant field</t>
  </si>
  <si>
    <t>Event</t>
  </si>
  <si>
    <t>Time *</t>
  </si>
  <si>
    <t>Top 150</t>
  </si>
  <si>
    <t>Gold</t>
  </si>
  <si>
    <t>Silver</t>
  </si>
  <si>
    <t>Bronze</t>
  </si>
  <si>
    <t>Below</t>
  </si>
  <si>
    <t>Free</t>
  </si>
  <si>
    <t>Back #</t>
  </si>
  <si>
    <t>Back</t>
  </si>
  <si>
    <t>Breast #</t>
  </si>
  <si>
    <t>Breast</t>
  </si>
  <si>
    <t>Fly #</t>
  </si>
  <si>
    <t>Fly</t>
  </si>
  <si>
    <t>Medley #</t>
  </si>
  <si>
    <t>Medley</t>
  </si>
  <si>
    <t># Para athletes</t>
  </si>
  <si>
    <t>* time achieved at:</t>
  </si>
  <si>
    <t>Intake 1</t>
  </si>
  <si>
    <t>Intake 2</t>
  </si>
  <si>
    <t>Intake 3</t>
  </si>
  <si>
    <t>December Regional LC Champs or Aussie State LC Champs</t>
  </si>
  <si>
    <t>WHY I WANT TO BE ON THE NATIONAL AGE PROGRAMME</t>
  </si>
  <si>
    <t>HOW I WILL CONTRIBUTE TO 'TEAM NEW ZEALAND'</t>
  </si>
  <si>
    <t xml:space="preserve">PLEASE ADD OTHER SUPPORTING INFORMATION </t>
  </si>
  <si>
    <t>including any medication and / or allergies</t>
  </si>
  <si>
    <t>COACH ENDORSEMENT</t>
  </si>
  <si>
    <t>Please explain why your athlete should be accepted on to the NAP 2021 - 2022</t>
  </si>
  <si>
    <t>Your name</t>
  </si>
  <si>
    <t>Cell</t>
  </si>
  <si>
    <t>Email</t>
  </si>
  <si>
    <t xml:space="preserve">THANK YOU </t>
  </si>
  <si>
    <t>WEEKLY TIMETABLE</t>
  </si>
  <si>
    <t>Mon</t>
  </si>
  <si>
    <t>Tue</t>
  </si>
  <si>
    <t>Wed</t>
  </si>
  <si>
    <t>Thu</t>
  </si>
  <si>
    <t>Fri</t>
  </si>
  <si>
    <t>Sat</t>
  </si>
  <si>
    <t>Sun</t>
  </si>
  <si>
    <t>AM</t>
  </si>
  <si>
    <t>PM</t>
  </si>
  <si>
    <t>DRYLAND</t>
  </si>
  <si>
    <t>INDIVIDUAL PERFROAMANCE PLAN</t>
  </si>
  <si>
    <t>Part 1</t>
  </si>
  <si>
    <t>What is my current performance level and my rate of progress?</t>
  </si>
  <si>
    <t>Type in your pbt (mins:secs.xx) for the last 3 years - the Percent Improve</t>
  </si>
  <si>
    <t>columns will automatically populate</t>
  </si>
  <si>
    <t>Course</t>
  </si>
  <si>
    <t>Percent</t>
  </si>
  <si>
    <t>PBT</t>
  </si>
  <si>
    <t>Improve</t>
  </si>
  <si>
    <t>Example</t>
  </si>
  <si>
    <t>LC</t>
  </si>
  <si>
    <t>Part 2</t>
  </si>
  <si>
    <t>Year</t>
  </si>
  <si>
    <t>My age at 31 Dec</t>
  </si>
  <si>
    <t>Goals</t>
  </si>
  <si>
    <t>Part 3</t>
  </si>
  <si>
    <t>Stroke counting</t>
  </si>
  <si>
    <t>My Top 5 strengths</t>
  </si>
  <si>
    <t>What areas do I need to improve the most?</t>
  </si>
  <si>
    <t>Click on the link. Enjoy!</t>
  </si>
  <si>
    <t>Tokyo Olympic selection policy</t>
  </si>
  <si>
    <t>Para World Records</t>
  </si>
  <si>
    <t>Para World Rankings</t>
  </si>
  <si>
    <t>World Para Swimming Champs 2019</t>
  </si>
  <si>
    <t>New Zealand Records</t>
  </si>
  <si>
    <t>Commonwealth Records</t>
  </si>
  <si>
    <t>World Records</t>
  </si>
  <si>
    <t>World Rankings</t>
  </si>
  <si>
    <t>Drug Free Sport NZ</t>
  </si>
  <si>
    <t>High Performance Sport NZ</t>
  </si>
  <si>
    <t>Swimswam</t>
  </si>
  <si>
    <t>Junior Pan Pacs 2018</t>
  </si>
  <si>
    <t>World Junior Champs 2019</t>
  </si>
  <si>
    <t>Oceania Champs 2018</t>
  </si>
  <si>
    <t>World SC Champs 2018</t>
  </si>
  <si>
    <t>Commonwealth Games 2018</t>
  </si>
  <si>
    <t>World Champs Open Water 2019</t>
  </si>
  <si>
    <t>World LC Champs 2019</t>
  </si>
  <si>
    <t>Rio Olympics 2016</t>
  </si>
  <si>
    <t>Para Swimming</t>
  </si>
  <si>
    <t>AquaBlacks</t>
  </si>
  <si>
    <t>Past AquaBlacks</t>
  </si>
  <si>
    <t>NZ swimming alumni</t>
  </si>
  <si>
    <t>Date</t>
  </si>
  <si>
    <t>Stroke</t>
  </si>
  <si>
    <t>Time</t>
  </si>
  <si>
    <t>Average</t>
  </si>
  <si>
    <t>Kiwi Number</t>
  </si>
  <si>
    <t>Improve Y / N</t>
  </si>
  <si>
    <t>Y</t>
  </si>
  <si>
    <t>KICK TEST - 10 X 100 MAX ON 2.30</t>
  </si>
  <si>
    <t>Please enter the times as in seconds. For example 1.45.7 = 105.7</t>
  </si>
  <si>
    <t>Front / Back</t>
  </si>
  <si>
    <t>Front</t>
  </si>
  <si>
    <t>Board Y / N</t>
  </si>
  <si>
    <t>Time 1</t>
  </si>
  <si>
    <t>Time 2</t>
  </si>
  <si>
    <t>Time 3</t>
  </si>
  <si>
    <t>Time 4</t>
  </si>
  <si>
    <t>Time 5</t>
  </si>
  <si>
    <t>Time 6</t>
  </si>
  <si>
    <t>Time 7</t>
  </si>
  <si>
    <t>Time 8</t>
  </si>
  <si>
    <t>Time 9</t>
  </si>
  <si>
    <t>Time 10</t>
  </si>
  <si>
    <t>LOG BOOK</t>
  </si>
  <si>
    <t>NATIONAL AGE PROGRAMME 2022 - 2023</t>
  </si>
  <si>
    <t>PURPOSE  -  PREPARE  -  PERFORM</t>
  </si>
  <si>
    <t>Strategic Goal = Top 16 Swimming Nation by 2028</t>
  </si>
  <si>
    <t>PHILOSOPHY</t>
  </si>
  <si>
    <r>
      <t xml:space="preserve">1. </t>
    </r>
    <r>
      <rPr>
        <b/>
        <sz val="11"/>
        <color theme="1"/>
        <rFont val="Calibri"/>
        <family val="2"/>
        <scheme val="minor"/>
      </rPr>
      <t>Purpose</t>
    </r>
    <r>
      <rPr>
        <sz val="11"/>
        <color theme="1"/>
        <rFont val="Calibri"/>
        <family val="2"/>
        <scheme val="minor"/>
      </rPr>
      <t xml:space="preserve"> - understand why you do what you do</t>
    </r>
  </si>
  <si>
    <r>
      <t xml:space="preserve">2. </t>
    </r>
    <r>
      <rPr>
        <b/>
        <sz val="11"/>
        <color theme="1"/>
        <rFont val="Calibri"/>
        <family val="2"/>
        <scheme val="minor"/>
      </rPr>
      <t>Prepare</t>
    </r>
    <r>
      <rPr>
        <sz val="11"/>
        <color theme="1"/>
        <rFont val="Calibri"/>
        <family val="2"/>
        <scheme val="minor"/>
      </rPr>
      <t xml:space="preserve"> - great coaching and athlete preparation</t>
    </r>
  </si>
  <si>
    <r>
      <t xml:space="preserve">3. </t>
    </r>
    <r>
      <rPr>
        <b/>
        <sz val="11"/>
        <color theme="1"/>
        <rFont val="Calibri"/>
        <family val="2"/>
        <scheme val="minor"/>
      </rPr>
      <t>Perform</t>
    </r>
    <r>
      <rPr>
        <sz val="11"/>
        <color theme="1"/>
        <rFont val="Calibri"/>
        <family val="2"/>
        <scheme val="minor"/>
      </rPr>
      <t xml:space="preserve"> - race fast when it really matters</t>
    </r>
  </si>
  <si>
    <t>3. Increase the number of athletes graduating to SNZ Senior and Targeted Programmes with the appropriate skills,</t>
  </si>
  <si>
    <t>mindset and performance behaviours</t>
  </si>
  <si>
    <t>MAIN GOALS</t>
  </si>
  <si>
    <t>1. NAP Passport &amp; National Tests - from selection to April 2023</t>
  </si>
  <si>
    <t>5. Queensland LC Champs - 09-17 December</t>
  </si>
  <si>
    <t>Note that all the activities are Age &amp; Stage related</t>
  </si>
  <si>
    <t>4. October Mini Camp or National Event Camp - dates tbc</t>
  </si>
  <si>
    <t>6. January Mini Camp - 25-27 January</t>
  </si>
  <si>
    <t xml:space="preserve">7. Gold Medal Camp - 17-18 February </t>
  </si>
  <si>
    <r>
      <t xml:space="preserve">Closing date for coach applications - please send to </t>
    </r>
    <r>
      <rPr>
        <b/>
        <sz val="11"/>
        <color theme="1"/>
        <rFont val="Calibri"/>
        <family val="2"/>
        <scheme val="minor"/>
      </rPr>
      <t>alastair@swimming.org.nz</t>
    </r>
  </si>
  <si>
    <t>Coaches Zoom</t>
  </si>
  <si>
    <t>Athlete Induction Zoom (Intake 1)</t>
  </si>
  <si>
    <r>
      <t xml:space="preserve">Closing date for athlete applications (Intake 1) - please send to </t>
    </r>
    <r>
      <rPr>
        <b/>
        <sz val="11"/>
        <color theme="1"/>
        <rFont val="Calibri"/>
        <family val="2"/>
        <scheme val="minor"/>
      </rPr>
      <t>alastair@swimming.org.nz</t>
    </r>
  </si>
  <si>
    <r>
      <t xml:space="preserve">Closing date for athlete applications (Intake 2) - please send to </t>
    </r>
    <r>
      <rPr>
        <b/>
        <sz val="11"/>
        <color theme="1"/>
        <rFont val="Calibri"/>
        <family val="2"/>
        <scheme val="minor"/>
      </rPr>
      <t>alastair@swimming.org.nz</t>
    </r>
  </si>
  <si>
    <r>
      <t xml:space="preserve">Passport updated and emailed to </t>
    </r>
    <r>
      <rPr>
        <b/>
        <sz val="11"/>
        <color theme="1"/>
        <rFont val="Calibri"/>
        <family val="2"/>
        <scheme val="minor"/>
      </rPr>
      <t>alastair@swimming.org.nz</t>
    </r>
  </si>
  <si>
    <r>
      <t xml:space="preserve">Closing date for athlete applications (Intake 3) - please send to </t>
    </r>
    <r>
      <rPr>
        <b/>
        <sz val="11"/>
        <color theme="1"/>
        <rFont val="Calibri"/>
        <family val="2"/>
        <scheme val="minor"/>
      </rPr>
      <t>alastair@swimming.org.nz</t>
    </r>
  </si>
  <si>
    <t>Athlete Induction Zoom plus coaches (Intake 2)</t>
  </si>
  <si>
    <t>Athlete Induction Zoom plus coaches (Intake 3)</t>
  </si>
  <si>
    <t>NAP 2022-2023 starts</t>
  </si>
  <si>
    <t>Age on 31 Dec 2022</t>
  </si>
  <si>
    <t>Please complete for your primary and secondary events</t>
  </si>
  <si>
    <t>NZ Champs, NAGS or any LC designated or dev meet - 01 May - 05 June</t>
  </si>
  <si>
    <t>Junior Pan Pacs or National Short Course Champs</t>
  </si>
  <si>
    <t>Make sure that you sit down with your coach and discuss and agree</t>
  </si>
  <si>
    <t>what you need to do in order to achieve your goals for 2023 and beyond</t>
  </si>
  <si>
    <t>What are my performance goals for the 2022 - 2023 season?</t>
  </si>
  <si>
    <t>What are my performance goals for 2024 and beyond?</t>
  </si>
  <si>
    <t>You need to have a Plan!</t>
  </si>
  <si>
    <t xml:space="preserve">Race Pace Calculator </t>
  </si>
  <si>
    <t>produced by John Pike</t>
  </si>
  <si>
    <t>PgDpSpSc (WINTEC)</t>
  </si>
  <si>
    <t>DipSpSc (University of Otago)</t>
  </si>
  <si>
    <t>Level 3 Swimming Coach</t>
  </si>
  <si>
    <t>Natatorial Analyst for Swimming New Zealand</t>
  </si>
  <si>
    <t>Introduction</t>
  </si>
  <si>
    <t>As a frustrated swimming coach I felt after 20 years of coaching I had reached a dead-end</t>
  </si>
  <si>
    <t xml:space="preserve">in need of a greater challenge if I was to offer more to my swimmers and the sport. I </t>
  </si>
  <si>
    <t xml:space="preserve">embarked on 10 years of study both through the University of Otago and then WINTEC, </t>
  </si>
  <si>
    <r>
      <t xml:space="preserve">I produced a paper, </t>
    </r>
    <r>
      <rPr>
        <i/>
        <sz val="10"/>
        <color theme="1"/>
        <rFont val="Calibri"/>
        <family val="2"/>
        <scheme val="minor"/>
      </rPr>
      <t>Progression of New Zealand Swimmers at National Championships</t>
    </r>
    <r>
      <rPr>
        <sz val="10"/>
        <color theme="1"/>
        <rFont val="Calibri"/>
        <family val="2"/>
        <scheme val="minor"/>
      </rPr>
      <t xml:space="preserve"> </t>
    </r>
  </si>
  <si>
    <r>
      <rPr>
        <i/>
        <sz val="10"/>
        <color theme="1"/>
        <rFont val="Calibri"/>
        <family val="2"/>
        <scheme val="minor"/>
      </rPr>
      <t>2000 - 2009.</t>
    </r>
    <r>
      <rPr>
        <sz val="10"/>
        <color theme="1"/>
        <rFont val="Calibri"/>
        <family val="2"/>
        <scheme val="minor"/>
      </rPr>
      <t xml:space="preserve"> It entailed entering every swimmers individual swim time at Nationals then  </t>
    </r>
  </si>
  <si>
    <t xml:space="preserve">analysing them to determine time improvements, stroke improvements and regressions, </t>
  </si>
  <si>
    <t xml:space="preserve">peak ages and performance trajectories. Armed with that information, it followed that  </t>
  </si>
  <si>
    <t>using International race pace a plan for say a 3% annual improvement could instigated.</t>
  </si>
  <si>
    <t>In over a decade of study it is easy to recognise a similar pattern for laps or portions of a</t>
  </si>
  <si>
    <t xml:space="preserve">race amongst the best swimmers in the world. This is not a new theory the problem seems </t>
  </si>
  <si>
    <t xml:space="preserve">to be that coaches and sport scientists failed to recognise that it had a practical </t>
  </si>
  <si>
    <t xml:space="preserve">application. The Canadian Level 3 - National Coaching Certification Program - Coaching </t>
  </si>
  <si>
    <t xml:space="preserve">the Championship Swimmer (1982) was used as the manual for the New Zealand Level 3 </t>
  </si>
  <si>
    <t>Coaching course in the 1990's and identifies IM race patterns as a percentage.</t>
  </si>
  <si>
    <t xml:space="preserve">Therefore the first aspect of improvement New Zealand swimmers should be mastering is </t>
  </si>
  <si>
    <t xml:space="preserve">the ability to replicate 'international race pace' </t>
  </si>
  <si>
    <t>Irrespective of age, if better race pacing can be taught at NZ Junior and NZ Age levels it can</t>
  </si>
  <si>
    <t>only be a positive for better times and performances later.</t>
  </si>
  <si>
    <t xml:space="preserve">The calculator is derived from a study of the first three place getters at the 2016 Olympics </t>
  </si>
  <si>
    <t xml:space="preserve">(Rio de Janeiro); the 2017 World Championships (Hungary); the 2018 Commonwealth  </t>
  </si>
  <si>
    <t xml:space="preserve">Games (Gold Coast); the 2018 Pan Pac Championship (Tokyo) and the 2018 European  </t>
  </si>
  <si>
    <t>Championships (Glasgow).</t>
  </si>
  <si>
    <t>The split times were log transformed (a percentage of the total time) and compared against</t>
  </si>
  <si>
    <t>the other times, using the means so that a pattern emerged. While times have improved</t>
  </si>
  <si>
    <t>over the years the pattern has remained the same.</t>
  </si>
  <si>
    <t xml:space="preserve">The Dive to start times are based on the percentage of dive to 25m or 50 in the longer events </t>
  </si>
  <si>
    <t xml:space="preserve">over the first portion of the race analysed i.e. 25 time of the first 50 in a 100 or first the </t>
  </si>
  <si>
    <t>first 50 of the 300 in a 1500. These times are the world best practice.</t>
  </si>
  <si>
    <t>The scientific community have done the research and proved the accuracy of the various</t>
  </si>
  <si>
    <t>theories but to wade through it can sometimes be a tough read.</t>
  </si>
  <si>
    <t xml:space="preserve">The academic or science has been removed for the benefit of the coach on the side of the </t>
  </si>
  <si>
    <t xml:space="preserve">pool to provide a fast and foolproof method of achieving best possible race pace. If you </t>
  </si>
  <si>
    <t>wish to immerse yourself in the science here are some useful sources:</t>
  </si>
  <si>
    <r>
      <t xml:space="preserve">Magischo, E. W. Pacing and Strategy in </t>
    </r>
    <r>
      <rPr>
        <i/>
        <sz val="10"/>
        <color theme="1"/>
        <rFont val="Calibri"/>
        <family val="2"/>
        <scheme val="minor"/>
      </rPr>
      <t>Swimming Fastest</t>
    </r>
    <r>
      <rPr>
        <sz val="10"/>
        <color theme="1"/>
        <rFont val="Calibri"/>
        <family val="2"/>
        <scheme val="minor"/>
      </rPr>
      <t xml:space="preserve"> (pp715 - 746). Champaign,</t>
    </r>
  </si>
  <si>
    <t>IL; Human Kinetics</t>
  </si>
  <si>
    <r>
      <t xml:space="preserve">Google Scholar search for </t>
    </r>
    <r>
      <rPr>
        <i/>
        <sz val="10"/>
        <color theme="1"/>
        <rFont val="Calibri"/>
        <family val="2"/>
        <scheme val="minor"/>
      </rPr>
      <t>swimming pattern of pacing</t>
    </r>
  </si>
  <si>
    <t>The late Clive Rushton, former NZ Swimming High Performance Director, suggested in his</t>
  </si>
  <si>
    <t>Individual Performance Plan document 'that swimmers should improve 3% in a calendar year'.</t>
  </si>
  <si>
    <t>This research is dedicated to the thought provoking challenge he posed.</t>
  </si>
  <si>
    <t>Race planning Calculator</t>
  </si>
  <si>
    <t>Enter your time as mm:ss.00 then press enter. Incorrect entry will not generate race pace splits</t>
  </si>
  <si>
    <t>Examples</t>
  </si>
  <si>
    <t>100 Free</t>
  </si>
  <si>
    <t>100 Fly</t>
  </si>
  <si>
    <t>or</t>
  </si>
  <si>
    <t>Men</t>
  </si>
  <si>
    <t>Splits</t>
  </si>
  <si>
    <t>200 Free</t>
  </si>
  <si>
    <t>400 Free</t>
  </si>
  <si>
    <t>1500 Free</t>
  </si>
  <si>
    <t>dive to 25</t>
  </si>
  <si>
    <t>dive to 50</t>
  </si>
  <si>
    <t>100 Back</t>
  </si>
  <si>
    <t>200 Back</t>
  </si>
  <si>
    <t>100 Brst</t>
  </si>
  <si>
    <t>200 Brst</t>
  </si>
  <si>
    <t>200 Fly</t>
  </si>
  <si>
    <t>200 IM</t>
  </si>
  <si>
    <t>400 IM</t>
  </si>
  <si>
    <t>Women</t>
  </si>
  <si>
    <t>800 Free</t>
  </si>
  <si>
    <t>PERFORMANCE EXPECTATIONS</t>
  </si>
  <si>
    <t>These are SNZ's performance expectations for all NAP Camps, activities and swim meets.</t>
  </si>
  <si>
    <t>YES</t>
  </si>
  <si>
    <t>NO</t>
  </si>
  <si>
    <t>Frequency</t>
  </si>
  <si>
    <t>Pre pool exercises</t>
  </si>
  <si>
    <t>Every workout</t>
  </si>
  <si>
    <t>Post pool recovery</t>
  </si>
  <si>
    <t>Integrated dryland programme</t>
  </si>
  <si>
    <t>2-3 times per week</t>
  </si>
  <si>
    <t>Every 4 months</t>
  </si>
  <si>
    <t>PREPARE - generic</t>
  </si>
  <si>
    <t>Every push off</t>
  </si>
  <si>
    <t>10-15 metre breakouts</t>
  </si>
  <si>
    <t>Using the pace clock</t>
  </si>
  <si>
    <t>Heart Rate check</t>
  </si>
  <si>
    <t>Main sets</t>
  </si>
  <si>
    <t>Feedback to coach</t>
  </si>
  <si>
    <t>PREPARE - stroke specific</t>
  </si>
  <si>
    <t>Freestyle</t>
  </si>
  <si>
    <t>Attack turns with tight rotation</t>
  </si>
  <si>
    <t>Every turn</t>
  </si>
  <si>
    <t>No breath on last stroke</t>
  </si>
  <si>
    <t>No breath on first stroke</t>
  </si>
  <si>
    <t>Every push off &amp; turn</t>
  </si>
  <si>
    <t>Breath control on sprints</t>
  </si>
  <si>
    <t>Sprint sets</t>
  </si>
  <si>
    <t>Consistent breathing pattern</t>
  </si>
  <si>
    <t>Every lap</t>
  </si>
  <si>
    <t>No breathing on last 5 metres</t>
  </si>
  <si>
    <t>Every finish</t>
  </si>
  <si>
    <t>No breathing on last 7 metres</t>
  </si>
  <si>
    <t>Backstroke</t>
  </si>
  <si>
    <t>Smooth breakouts &amp; transitions</t>
  </si>
  <si>
    <t>Finish on the wall on hand entry</t>
  </si>
  <si>
    <t>Breaststroke</t>
  </si>
  <si>
    <t>No gliding into turns</t>
  </si>
  <si>
    <t>Power pull outs / propulsive</t>
  </si>
  <si>
    <t>Finish on the wall with a jump</t>
  </si>
  <si>
    <t>Symmetrical stroke</t>
  </si>
  <si>
    <t>Main set</t>
  </si>
  <si>
    <t>Butterfly</t>
  </si>
  <si>
    <t>No breathing on first stroke</t>
  </si>
  <si>
    <t>Every breakout</t>
  </si>
  <si>
    <t>No breathing on last stroke</t>
  </si>
  <si>
    <t>No breathing on last 3 strokes</t>
  </si>
  <si>
    <t>Fly &amp; Free breakouts</t>
  </si>
  <si>
    <t>Fly turn</t>
  </si>
  <si>
    <t>Back to Breast turn</t>
  </si>
  <si>
    <t>PERFORM</t>
  </si>
  <si>
    <t>Race plan agreed with coach</t>
  </si>
  <si>
    <t>Every race</t>
  </si>
  <si>
    <t>Use the Race Predictor Model</t>
  </si>
  <si>
    <t>Every meet</t>
  </si>
  <si>
    <t>Race within 1 percent of pbt</t>
  </si>
  <si>
    <t>Heats &amp; finals</t>
  </si>
  <si>
    <t>Best times at the Target Meet</t>
  </si>
  <si>
    <t>2-3 peaks per season</t>
  </si>
  <si>
    <t>Post race swim down protocol</t>
  </si>
  <si>
    <t>Even pace / negative split</t>
  </si>
  <si>
    <t>Endurance sets</t>
  </si>
  <si>
    <t>These are my Top 5 priorities that I will achieve in the next 4-6 months</t>
  </si>
  <si>
    <t>June</t>
  </si>
  <si>
    <t>July</t>
  </si>
  <si>
    <t>August</t>
  </si>
  <si>
    <t>September</t>
  </si>
  <si>
    <t>November</t>
  </si>
  <si>
    <t>January</t>
  </si>
  <si>
    <t>February</t>
  </si>
  <si>
    <t>March</t>
  </si>
  <si>
    <t>April</t>
  </si>
  <si>
    <t>Racing (Perform)</t>
  </si>
  <si>
    <t>Training (Prepare)</t>
  </si>
  <si>
    <t>Olympic</t>
  </si>
  <si>
    <t>International</t>
  </si>
  <si>
    <t>National</t>
  </si>
  <si>
    <t>10 x 100 Kick Test</t>
  </si>
  <si>
    <t>Max effort on 2.30</t>
  </si>
  <si>
    <t>SC</t>
  </si>
  <si>
    <t>Female - Free &amp; Fly</t>
  </si>
  <si>
    <t>Male - Free &amp; Fly</t>
  </si>
  <si>
    <t>1.19 &amp; faster</t>
  </si>
  <si>
    <t>1.20 - 1.24</t>
  </si>
  <si>
    <t>1.25 - 1.34</t>
  </si>
  <si>
    <t>1.35 - 1.50</t>
  </si>
  <si>
    <t>1.14 &amp; faster</t>
  </si>
  <si>
    <t>1.15 - 1.19</t>
  </si>
  <si>
    <t>1.20 - 1.29</t>
  </si>
  <si>
    <t>1.30 - 1.45</t>
  </si>
  <si>
    <t>1.09 &amp; faster</t>
  </si>
  <si>
    <t>1.10 - 1.14</t>
  </si>
  <si>
    <t>1.20 - 1.40</t>
  </si>
  <si>
    <t>For Backstroke - DEDUCT 5 secs from the above times</t>
  </si>
  <si>
    <t>For Breaststroke - ADD 5 secs to the above times</t>
  </si>
  <si>
    <t>SNZ's expectation is for all NAP athletes to achieve the Olympic or International standard</t>
  </si>
  <si>
    <t>Goal time</t>
  </si>
  <si>
    <t>Target</t>
  </si>
  <si>
    <t>Stroke Count</t>
  </si>
  <si>
    <t xml:space="preserve">Speed </t>
  </si>
  <si>
    <t>Stroke Index</t>
  </si>
  <si>
    <t>Slowest</t>
  </si>
  <si>
    <t>Fastest</t>
  </si>
  <si>
    <t>Pool length</t>
  </si>
  <si>
    <t>DPS</t>
  </si>
  <si>
    <t>Cycle</t>
  </si>
  <si>
    <t>Max</t>
  </si>
  <si>
    <t>Target = Goal time / 4 = Step 6</t>
  </si>
  <si>
    <t>Step</t>
  </si>
  <si>
    <t>25 metres</t>
  </si>
  <si>
    <t>Distance</t>
  </si>
  <si>
    <t>2.12.00</t>
  </si>
  <si>
    <t>KIWI NUMBER STEP TEST 2022 - 2023</t>
  </si>
  <si>
    <t>EXAMPLE</t>
  </si>
  <si>
    <t>Complete the green coloured fields only - the white coloured fields will auto populate</t>
  </si>
  <si>
    <t>Wear appropriate footwear</t>
  </si>
  <si>
    <t>Wear team uniform on deck</t>
  </si>
  <si>
    <t>Start</t>
  </si>
  <si>
    <t>End</t>
  </si>
  <si>
    <t>Pre-pool</t>
  </si>
  <si>
    <t>Dryland activities</t>
  </si>
  <si>
    <t>Circuits 6.15-7.00 pm</t>
  </si>
  <si>
    <t>Recording your height &amp; wingspan</t>
  </si>
  <si>
    <t>Tight streamlining</t>
  </si>
  <si>
    <t>Every meaningful repeat</t>
  </si>
  <si>
    <t>No pausing / gliding to the wall</t>
  </si>
  <si>
    <t>Roll / Crossover turn</t>
  </si>
  <si>
    <t>TOTAL YES's</t>
  </si>
  <si>
    <t>Reflection - learn from the race</t>
  </si>
  <si>
    <r>
      <t xml:space="preserve">As a guide, SNZ are looking for an average of </t>
    </r>
    <r>
      <rPr>
        <b/>
        <i/>
        <sz val="11"/>
        <color theme="1"/>
        <rFont val="Calibri"/>
        <family val="2"/>
        <scheme val="minor"/>
      </rPr>
      <t>3.0+ pc</t>
    </r>
    <r>
      <rPr>
        <i/>
        <sz val="11"/>
        <color theme="1"/>
        <rFont val="Calibri"/>
        <family val="2"/>
        <scheme val="minor"/>
      </rPr>
      <t xml:space="preserve"> improvement per 12 months</t>
    </r>
  </si>
  <si>
    <t>Set pbt</t>
  </si>
  <si>
    <t>If the test is done in a 25m pool during the LC season, then the actual goal time should</t>
  </si>
  <si>
    <t>If the test is done in a 50m pool, then the goal time = 200 LC goal time</t>
  </si>
  <si>
    <t>be 200 LC goal time minus 4 seconds</t>
  </si>
  <si>
    <t>Skills to improve are tighter streamlining, longer breakout distance, consistent breathing</t>
  </si>
  <si>
    <t>NOTES</t>
  </si>
  <si>
    <t>TIPS</t>
  </si>
  <si>
    <t>pattern, stronger kick, increased distance per stroke, faster finishes etc</t>
  </si>
  <si>
    <t>Work with your coach and team mates to stay accountable to improving your skills</t>
  </si>
  <si>
    <t>The Test is designed to challenge you to improve your skills across different speeds</t>
  </si>
  <si>
    <t>As you improve, then your stroke count, time and Kiwi Number should all decrease, whilst</t>
  </si>
  <si>
    <t>your Stroke Index goes up (the higher the better)</t>
  </si>
  <si>
    <t>You can also get your Stroke Index when racing and compare it your KNST Stroke Index</t>
  </si>
  <si>
    <t>Cycle = 2 for Freestyle &amp; Backstroke, 1 for Butterfly and Breaststroke</t>
  </si>
  <si>
    <t>Kiwi Number = Time + Stroke Count</t>
  </si>
  <si>
    <t>Stroke Index = Speed x DPS x Cycle</t>
  </si>
  <si>
    <t>The fastest athletes (ie. most skilled) will have a HIGH Stroke Index and a LOW Kiwi Number</t>
  </si>
  <si>
    <t>Heart Rate</t>
  </si>
  <si>
    <t>Max HR</t>
  </si>
  <si>
    <t>50m</t>
  </si>
  <si>
    <t>My Standard</t>
  </si>
  <si>
    <t>Total pool workouts per week</t>
  </si>
  <si>
    <t>Total pool hours per week</t>
  </si>
  <si>
    <t>Total Dryland workouts per week</t>
  </si>
  <si>
    <t>Total dryland hours per week</t>
  </si>
  <si>
    <t>Skill Improvement (Prepare)</t>
  </si>
  <si>
    <t>Test Sets (Prepare)</t>
  </si>
  <si>
    <t>Health &amp; Wellness (Prepare)</t>
  </si>
  <si>
    <t xml:space="preserve">PLEASE ENSURE THAT YOU HAVE READ THE NAP ATHLETE &amp; PARENT INFORMATION BOOKLET </t>
  </si>
  <si>
    <t>BEFORE YOUR COMPLETE YOUR NAP PASSPORT / APPLICATION. THANK YOU.</t>
  </si>
  <si>
    <t>At the end of each month, write some comments (keep it simple) on how you have fared across the 5 headings. You comments should connect to your goals and Top 5 Priorities</t>
  </si>
  <si>
    <t>Very healthy</t>
  </si>
  <si>
    <t>Very pleased with my progress esp. on</t>
  </si>
  <si>
    <t>my turns and finishes</t>
  </si>
  <si>
    <t xml:space="preserve">I am working harder than ever. I am </t>
  </si>
  <si>
    <t>taking my HR at every workout</t>
  </si>
  <si>
    <t>I improved my Kick Test by 10 secs</t>
  </si>
  <si>
    <t>Really pleased!</t>
  </si>
  <si>
    <t>Raced 4 events at the XYZ SC meet</t>
  </si>
  <si>
    <t>Splits improving (used the RP model)</t>
  </si>
  <si>
    <t>Missed 3 workouts due to a cold</t>
  </si>
  <si>
    <t>100 pc best times</t>
  </si>
  <si>
    <t>Tokyo Olympics 2020</t>
  </si>
  <si>
    <t>International Teams selection criteria</t>
  </si>
  <si>
    <t xml:space="preserve"> August 2022 - WJOW / JPP / National Short Course Champs</t>
  </si>
  <si>
    <t xml:space="preserve">December 2022 - Regional LC Champs / Aussie State LC Champs or NZ Open Water </t>
  </si>
  <si>
    <t>April 2023 - NZ Champs / NAGS</t>
  </si>
  <si>
    <t>Athletes are expected to achieve these expectations in training (prepare) and at swim meets</t>
  </si>
  <si>
    <t>(perform). Achieving the performance expectations consistently, when fatigued and under pressure</t>
  </si>
  <si>
    <t>will take time. However, deliberate and conscious effort should ensure that you contiunally improve</t>
  </si>
  <si>
    <t>your skills, and increase the number of YES's across the season. Please add YES or NO to each</t>
  </si>
  <si>
    <t>Expectation. If you have answered with a YES - then well done. If you have answered with a NO, then</t>
  </si>
  <si>
    <t>this is an area that you need to improve. You should consider adding this to your Top 5 Priorities on</t>
  </si>
  <si>
    <t>the IDP tab. Remember to add the number of YES's on the last row. This number should be increasing</t>
  </si>
  <si>
    <t>from May to August to December - especially for those skills in your primary and secondary events.</t>
  </si>
  <si>
    <t>Do not include any pre-pool hours in your calculations</t>
  </si>
  <si>
    <t>Step 6 = 200 goal time divided by 4 (eg. 2.12.00 / 4 = 33.00)</t>
  </si>
  <si>
    <t>Steps 1-5 = Step 6 plus 1 sec per step</t>
  </si>
  <si>
    <t>Step 7 = Max effort</t>
  </si>
  <si>
    <t>The example shown is the test done in a 25m pool with a 200 SC goal time of 2.12.00</t>
  </si>
  <si>
    <t>2. Tri Series Meet - 9-11 July 2022</t>
  </si>
  <si>
    <t>3. WJOW &amp; JPP Micro Camp - 09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</si>
</sst>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0.0"/>
    <numFmt numFmtId="166" formatCode="mm:ss.00"/>
  </numFmts>
  <fonts count="18"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9"/>
      <color theme="1"/>
      <name val="Calibri"/>
      <family val="2"/>
      <scheme val="minor"/>
    </font>
    <font>
      <b/>
      <sz val="12"/>
      <color theme="1"/>
      <name val="Calibri"/>
      <family val="2"/>
      <scheme val="minor"/>
    </font>
    <font>
      <u/>
      <sz val="11"/>
      <color theme="10"/>
      <name val="Calibri"/>
      <family val="2"/>
      <scheme val="minor"/>
    </font>
    <font>
      <sz val="8"/>
      <name val="Calibri"/>
      <family val="2"/>
      <scheme val="minor"/>
    </font>
    <font>
      <b/>
      <sz val="14"/>
      <color theme="1"/>
      <name val="Calibri"/>
      <family val="2"/>
      <scheme val="minor"/>
    </font>
    <font>
      <i/>
      <sz val="14"/>
      <color theme="1"/>
      <name val="Calibri"/>
      <family val="2"/>
      <scheme val="minor"/>
    </font>
    <font>
      <b/>
      <sz val="16"/>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10"/>
      <color theme="1"/>
      <name val="Calibri"/>
      <family val="2"/>
      <scheme val="minor"/>
    </font>
    <font>
      <b/>
      <sz val="9"/>
      <color theme="1"/>
      <name val="Calibri"/>
      <family val="2"/>
      <scheme val="minor"/>
    </font>
    <font>
      <b/>
      <i/>
      <sz val="14"/>
      <color theme="1"/>
      <name val="Calibri"/>
      <family val="2"/>
      <scheme val="minor"/>
    </font>
    <font>
      <sz val="11"/>
      <color rgb="FFFF0000"/>
      <name val="Calibri"/>
      <family val="2"/>
      <scheme val="minor"/>
    </font>
  </fonts>
  <fills count="18">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FF66FF"/>
        <bgColor indexed="64"/>
      </patternFill>
    </fill>
    <fill>
      <patternFill patternType="solid">
        <fgColor theme="0"/>
        <bgColor indexed="64"/>
      </patternFill>
    </fill>
    <fill>
      <patternFill patternType="solid">
        <fgColor rgb="FFFFFF00"/>
        <bgColor indexed="64"/>
      </patternFill>
    </fill>
    <fill>
      <patternFill patternType="solid">
        <fgColor rgb="FFFFCC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rgb="FFF2F2F2"/>
        <bgColor indexed="64"/>
      </patternFill>
    </fill>
    <fill>
      <patternFill patternType="solid">
        <fgColor theme="8" tint="0.59999389629810485"/>
        <bgColor indexed="64"/>
      </patternFill>
    </fill>
    <fill>
      <patternFill patternType="solid">
        <fgColor rgb="FF002060"/>
        <bgColor indexed="64"/>
      </patternFill>
    </fill>
    <fill>
      <patternFill patternType="solid">
        <fgColor theme="5" tint="0.39997558519241921"/>
        <bgColor indexed="64"/>
      </patternFill>
    </fill>
  </fills>
  <borders count="1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indexed="64"/>
      </bottom>
      <diagonal/>
    </border>
    <border>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style="medium">
        <color rgb="FF000000"/>
      </right>
      <top/>
      <bottom style="thin">
        <color rgb="FF000000"/>
      </bottom>
      <diagonal/>
    </border>
    <border>
      <left/>
      <right style="medium">
        <color rgb="FF000000"/>
      </right>
      <top style="thin">
        <color indexed="64"/>
      </top>
      <bottom style="thin">
        <color indexed="64"/>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bottom style="thin">
        <color rgb="FF000000"/>
      </bottom>
      <diagonal/>
    </border>
    <border>
      <left/>
      <right/>
      <top/>
      <bottom style="thin">
        <color rgb="FF000000"/>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634">
    <xf numFmtId="0" fontId="0" fillId="0" borderId="0" xfId="0"/>
    <xf numFmtId="0" fontId="1" fillId="5" borderId="6" xfId="0" applyFont="1" applyFill="1" applyBorder="1"/>
    <xf numFmtId="0" fontId="1" fillId="5" borderId="6" xfId="0" applyFont="1" applyFill="1" applyBorder="1" applyAlignment="1">
      <alignment horizontal="left"/>
    </xf>
    <xf numFmtId="0" fontId="0" fillId="0" borderId="5" xfId="0" applyBorder="1"/>
    <xf numFmtId="0" fontId="0" fillId="10" borderId="7" xfId="0" applyFill="1" applyBorder="1"/>
    <xf numFmtId="0" fontId="0" fillId="0" borderId="11" xfId="0" applyBorder="1"/>
    <xf numFmtId="0" fontId="0" fillId="10" borderId="17" xfId="0" applyFill="1" applyBorder="1" applyAlignment="1">
      <alignment horizontal="center"/>
    </xf>
    <xf numFmtId="0" fontId="0" fillId="10" borderId="14" xfId="0" applyFill="1" applyBorder="1" applyAlignment="1">
      <alignment horizontal="center"/>
    </xf>
    <xf numFmtId="0" fontId="1" fillId="4" borderId="6" xfId="0" applyFont="1" applyFill="1" applyBorder="1"/>
    <xf numFmtId="0" fontId="1" fillId="4" borderId="6" xfId="0" applyFont="1" applyFill="1" applyBorder="1" applyAlignment="1">
      <alignment horizontal="left"/>
    </xf>
    <xf numFmtId="0" fontId="1" fillId="10" borderId="12" xfId="0" applyFont="1" applyFill="1" applyBorder="1" applyAlignment="1">
      <alignment horizontal="center"/>
    </xf>
    <xf numFmtId="0" fontId="1" fillId="10" borderId="7" xfId="0" applyFont="1" applyFill="1" applyBorder="1" applyAlignment="1">
      <alignment horizontal="center"/>
    </xf>
    <xf numFmtId="0" fontId="1" fillId="10" borderId="33" xfId="0" applyFont="1" applyFill="1" applyBorder="1" applyAlignment="1">
      <alignment horizontal="center"/>
    </xf>
    <xf numFmtId="0" fontId="1" fillId="10" borderId="19" xfId="0" applyFont="1" applyFill="1" applyBorder="1" applyAlignment="1">
      <alignment horizontal="center"/>
    </xf>
    <xf numFmtId="165" fontId="0" fillId="10" borderId="9" xfId="0" applyNumberFormat="1" applyFill="1" applyBorder="1" applyAlignment="1">
      <alignment horizontal="center"/>
    </xf>
    <xf numFmtId="165" fontId="0" fillId="10" borderId="11" xfId="0" applyNumberFormat="1" applyFill="1" applyBorder="1" applyAlignment="1">
      <alignment horizontal="center"/>
    </xf>
    <xf numFmtId="165" fontId="0" fillId="10" borderId="25" xfId="0" applyNumberFormat="1" applyFill="1" applyBorder="1" applyAlignment="1">
      <alignment horizontal="center"/>
    </xf>
    <xf numFmtId="0" fontId="1" fillId="10" borderId="15" xfId="0" applyFont="1" applyFill="1" applyBorder="1" applyAlignment="1">
      <alignment horizontal="center"/>
    </xf>
    <xf numFmtId="165" fontId="1" fillId="10" borderId="9" xfId="0" applyNumberFormat="1" applyFont="1" applyFill="1" applyBorder="1" applyAlignment="1">
      <alignment horizontal="center"/>
    </xf>
    <xf numFmtId="0" fontId="0" fillId="6" borderId="0" xfId="0" applyFill="1"/>
    <xf numFmtId="0" fontId="2" fillId="10" borderId="5" xfId="0" applyFont="1" applyFill="1" applyBorder="1" applyAlignment="1">
      <alignment horizontal="center"/>
    </xf>
    <xf numFmtId="0" fontId="0" fillId="0" borderId="5" xfId="0" applyBorder="1" applyAlignment="1">
      <alignment horizontal="center"/>
    </xf>
    <xf numFmtId="0" fontId="1" fillId="10" borderId="10" xfId="0" applyFont="1" applyFill="1" applyBorder="1" applyAlignment="1">
      <alignment horizontal="center"/>
    </xf>
    <xf numFmtId="0" fontId="1" fillId="10" borderId="5" xfId="0" applyFont="1" applyFill="1" applyBorder="1" applyAlignment="1">
      <alignment horizontal="center"/>
    </xf>
    <xf numFmtId="0" fontId="0" fillId="0" borderId="13" xfId="0" applyBorder="1" applyAlignment="1">
      <alignment horizontal="center"/>
    </xf>
    <xf numFmtId="0" fontId="0" fillId="0" borderId="0" xfId="0" applyProtection="1">
      <protection locked="0"/>
    </xf>
    <xf numFmtId="0" fontId="1" fillId="9" borderId="5" xfId="0" applyFont="1" applyFill="1" applyBorder="1" applyAlignment="1" applyProtection="1">
      <alignment horizontal="center"/>
      <protection locked="0"/>
    </xf>
    <xf numFmtId="0" fontId="1" fillId="8" borderId="5" xfId="0" applyFont="1" applyFill="1" applyBorder="1" applyAlignment="1" applyProtection="1">
      <alignment horizontal="center"/>
      <protection locked="0"/>
    </xf>
    <xf numFmtId="0" fontId="1" fillId="11" borderId="5" xfId="0" applyFont="1" applyFill="1" applyBorder="1" applyAlignment="1" applyProtection="1">
      <alignment horizontal="center"/>
      <protection locked="0"/>
    </xf>
    <xf numFmtId="0" fontId="1" fillId="12" borderId="5" xfId="0" applyFont="1" applyFill="1" applyBorder="1" applyAlignment="1" applyProtection="1">
      <alignment horizontal="center"/>
      <protection locked="0"/>
    </xf>
    <xf numFmtId="0" fontId="1" fillId="0" borderId="11" xfId="0" applyFont="1" applyBorder="1" applyAlignment="1" applyProtection="1">
      <alignment horizontal="center"/>
      <protection locked="0"/>
    </xf>
    <xf numFmtId="0" fontId="1" fillId="10" borderId="10" xfId="0" applyFont="1" applyFill="1" applyBorder="1" applyAlignment="1" applyProtection="1">
      <alignment horizontal="center"/>
      <protection locked="0"/>
    </xf>
    <xf numFmtId="0" fontId="1" fillId="10" borderId="12" xfId="0" applyFont="1" applyFill="1" applyBorder="1" applyAlignment="1" applyProtection="1">
      <alignment horizontal="center"/>
      <protection locked="0"/>
    </xf>
    <xf numFmtId="0" fontId="1" fillId="10" borderId="13" xfId="0" applyFont="1" applyFill="1" applyBorder="1" applyAlignment="1" applyProtection="1">
      <alignment horizontal="center"/>
      <protection locked="0"/>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0" fillId="0" borderId="91"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1" fillId="14" borderId="10" xfId="0" applyFont="1" applyFill="1" applyBorder="1" applyAlignment="1">
      <alignment horizontal="center"/>
    </xf>
    <xf numFmtId="0" fontId="1" fillId="14" borderId="12" xfId="0" applyFont="1" applyFill="1" applyBorder="1" applyAlignment="1">
      <alignment horizontal="center"/>
    </xf>
    <xf numFmtId="0" fontId="1" fillId="4" borderId="103" xfId="0" applyFont="1" applyFill="1" applyBorder="1"/>
    <xf numFmtId="0" fontId="1" fillId="10" borderId="91" xfId="0" applyFont="1" applyFill="1" applyBorder="1" applyAlignment="1">
      <alignment horizontal="center"/>
    </xf>
    <xf numFmtId="0" fontId="1" fillId="10" borderId="106" xfId="0" applyFont="1" applyFill="1" applyBorder="1" applyAlignment="1">
      <alignment horizontal="center"/>
    </xf>
    <xf numFmtId="0" fontId="2" fillId="10" borderId="91" xfId="0" applyFont="1" applyFill="1" applyBorder="1" applyAlignment="1">
      <alignment horizontal="center"/>
    </xf>
    <xf numFmtId="0" fontId="0" fillId="10" borderId="91" xfId="0" applyFill="1" applyBorder="1" applyAlignment="1">
      <alignment horizontal="center"/>
    </xf>
    <xf numFmtId="0" fontId="0" fillId="10" borderId="93" xfId="0" applyFill="1" applyBorder="1" applyAlignment="1">
      <alignment horizontal="center"/>
    </xf>
    <xf numFmtId="0" fontId="0" fillId="10" borderId="107" xfId="0" applyFill="1" applyBorder="1" applyAlignment="1">
      <alignment horizontal="center"/>
    </xf>
    <xf numFmtId="10" fontId="2" fillId="6" borderId="5" xfId="0" applyNumberFormat="1" applyFont="1" applyFill="1" applyBorder="1" applyAlignment="1">
      <alignment horizontal="center"/>
    </xf>
    <xf numFmtId="166" fontId="2" fillId="6" borderId="5" xfId="0" applyNumberFormat="1" applyFont="1" applyFill="1" applyBorder="1" applyAlignment="1">
      <alignment horizontal="center"/>
    </xf>
    <xf numFmtId="166" fontId="0" fillId="6" borderId="5" xfId="0" applyNumberFormat="1" applyFill="1" applyBorder="1" applyAlignment="1">
      <alignment horizontal="center"/>
    </xf>
    <xf numFmtId="166" fontId="0" fillId="0" borderId="5" xfId="0" applyNumberFormat="1" applyBorder="1" applyAlignment="1">
      <alignment horizontal="center"/>
    </xf>
    <xf numFmtId="166" fontId="0" fillId="0" borderId="107" xfId="0" applyNumberFormat="1" applyBorder="1" applyAlignment="1">
      <alignment horizontal="center"/>
    </xf>
    <xf numFmtId="166" fontId="2" fillId="6" borderId="106" xfId="0" applyNumberFormat="1" applyFont="1" applyFill="1" applyBorder="1" applyAlignment="1">
      <alignment horizontal="center"/>
    </xf>
    <xf numFmtId="166" fontId="0" fillId="6" borderId="106" xfId="0" applyNumberFormat="1" applyFill="1" applyBorder="1" applyAlignment="1">
      <alignment horizontal="center"/>
    </xf>
    <xf numFmtId="166" fontId="0" fillId="0" borderId="106" xfId="0" applyNumberFormat="1" applyBorder="1" applyAlignment="1">
      <alignment horizontal="center"/>
    </xf>
    <xf numFmtId="166" fontId="0" fillId="0" borderId="108" xfId="0" applyNumberFormat="1" applyBorder="1" applyAlignment="1">
      <alignment horizontal="center"/>
    </xf>
    <xf numFmtId="0" fontId="0" fillId="0" borderId="47" xfId="0" applyBorder="1"/>
    <xf numFmtId="0" fontId="0" fillId="0" borderId="16" xfId="0" applyBorder="1"/>
    <xf numFmtId="0" fontId="0" fillId="0" borderId="17" xfId="0" applyBorder="1"/>
    <xf numFmtId="0" fontId="0" fillId="0" borderId="54" xfId="0" applyBorder="1"/>
    <xf numFmtId="0" fontId="0" fillId="0" borderId="13" xfId="0" applyBorder="1"/>
    <xf numFmtId="0" fontId="0" fillId="0" borderId="14" xfId="0" applyBorder="1"/>
    <xf numFmtId="165" fontId="0" fillId="0" borderId="8" xfId="0" applyNumberFormat="1" applyBorder="1"/>
    <xf numFmtId="165" fontId="0" fillId="0" borderId="9" xfId="0" applyNumberFormat="1" applyBorder="1"/>
    <xf numFmtId="165" fontId="0" fillId="0" borderId="5" xfId="0" applyNumberFormat="1" applyBorder="1"/>
    <xf numFmtId="165" fontId="0" fillId="0" borderId="11" xfId="0" applyNumberFormat="1" applyBorder="1"/>
    <xf numFmtId="165" fontId="0" fillId="0" borderId="24" xfId="0" applyNumberFormat="1" applyBorder="1"/>
    <xf numFmtId="165" fontId="0" fillId="0" borderId="25" xfId="0" applyNumberFormat="1" applyBorder="1"/>
    <xf numFmtId="0" fontId="0" fillId="0" borderId="15" xfId="0" applyBorder="1"/>
    <xf numFmtId="0" fontId="0" fillId="0" borderId="12" xfId="0" applyBorder="1"/>
    <xf numFmtId="0" fontId="0" fillId="0" borderId="30"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9" xfId="0" applyBorder="1" applyAlignment="1" applyProtection="1">
      <alignment horizontal="center"/>
      <protection locked="0"/>
    </xf>
    <xf numFmtId="0" fontId="1" fillId="10" borderId="5" xfId="0" applyFont="1" applyFill="1" applyBorder="1" applyAlignment="1" applyProtection="1">
      <alignment horizontal="center"/>
      <protection locked="0"/>
    </xf>
    <xf numFmtId="0" fontId="0" fillId="10" borderId="5" xfId="0" applyFill="1" applyBorder="1" applyAlignment="1">
      <alignment horizontal="center"/>
    </xf>
    <xf numFmtId="0" fontId="0" fillId="0" borderId="0" xfId="0" applyAlignment="1">
      <alignment horizontal="center"/>
    </xf>
    <xf numFmtId="0" fontId="0" fillId="10" borderId="42"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10" borderId="11" xfId="0" applyFill="1" applyBorder="1" applyAlignment="1">
      <alignment horizontal="center"/>
    </xf>
    <xf numFmtId="164" fontId="0" fillId="9" borderId="56" xfId="0" applyNumberFormat="1" applyFont="1" applyFill="1" applyBorder="1" applyAlignment="1">
      <alignment horizontal="left"/>
    </xf>
    <xf numFmtId="164" fontId="0" fillId="9" borderId="57" xfId="0" applyNumberFormat="1" applyFill="1" applyBorder="1" applyAlignment="1">
      <alignment horizontal="left"/>
    </xf>
    <xf numFmtId="164" fontId="0" fillId="15" borderId="57" xfId="0" applyNumberFormat="1" applyFill="1" applyBorder="1" applyAlignment="1">
      <alignment horizontal="left"/>
    </xf>
    <xf numFmtId="164" fontId="0" fillId="0" borderId="57" xfId="0" applyNumberFormat="1" applyFill="1" applyBorder="1" applyAlignment="1">
      <alignment horizontal="left"/>
    </xf>
    <xf numFmtId="164" fontId="0" fillId="13" borderId="57" xfId="0" applyNumberFormat="1" applyFill="1" applyBorder="1" applyAlignment="1">
      <alignment horizontal="left"/>
    </xf>
    <xf numFmtId="164" fontId="0" fillId="13" borderId="58" xfId="0" applyNumberFormat="1" applyFill="1" applyBorder="1" applyAlignment="1">
      <alignment horizontal="left"/>
    </xf>
    <xf numFmtId="166" fontId="0" fillId="0" borderId="5" xfId="0" applyNumberFormat="1" applyBorder="1" applyAlignment="1" applyProtection="1">
      <alignment horizontal="center"/>
      <protection locked="0"/>
    </xf>
    <xf numFmtId="166" fontId="0" fillId="0" borderId="13" xfId="0" applyNumberFormat="1" applyBorder="1" applyAlignment="1" applyProtection="1">
      <alignment horizontal="center"/>
      <protection locked="0"/>
    </xf>
    <xf numFmtId="0" fontId="5" fillId="0" borderId="0" xfId="0" applyFont="1"/>
    <xf numFmtId="0" fontId="11" fillId="0" borderId="0" xfId="0" applyFont="1"/>
    <xf numFmtId="0" fontId="12" fillId="0" borderId="0" xfId="0" applyFont="1"/>
    <xf numFmtId="0" fontId="1" fillId="0" borderId="0" xfId="0" applyFont="1"/>
    <xf numFmtId="0" fontId="14" fillId="0" borderId="0" xfId="0" applyFont="1"/>
    <xf numFmtId="166" fontId="0" fillId="0" borderId="16" xfId="0" applyNumberFormat="1" applyBorder="1" applyAlignment="1">
      <alignment horizontal="center"/>
    </xf>
    <xf numFmtId="0" fontId="0" fillId="16" borderId="0" xfId="0" applyFill="1"/>
    <xf numFmtId="0" fontId="1" fillId="16" borderId="0" xfId="0" applyFont="1" applyFill="1" applyAlignment="1">
      <alignment horizontal="center"/>
    </xf>
    <xf numFmtId="0" fontId="11" fillId="0" borderId="5" xfId="0" applyFont="1" applyBorder="1" applyAlignment="1">
      <alignment horizontal="center"/>
    </xf>
    <xf numFmtId="0" fontId="11" fillId="0" borderId="0" xfId="0" applyFont="1" applyAlignment="1">
      <alignment horizontal="center"/>
    </xf>
    <xf numFmtId="0" fontId="11" fillId="16" borderId="0" xfId="0" applyFont="1" applyFill="1" applyAlignment="1">
      <alignment horizontal="center"/>
    </xf>
    <xf numFmtId="166" fontId="0" fillId="16" borderId="0" xfId="0" applyNumberFormat="1" applyFill="1" applyAlignment="1">
      <alignment horizontal="center"/>
    </xf>
    <xf numFmtId="166" fontId="12" fillId="0" borderId="0" xfId="0" applyNumberFormat="1" applyFont="1" applyAlignment="1">
      <alignment horizontal="center"/>
    </xf>
    <xf numFmtId="166" fontId="12" fillId="16" borderId="0" xfId="0" applyNumberFormat="1" applyFont="1" applyFill="1" applyAlignment="1">
      <alignment horizontal="center"/>
    </xf>
    <xf numFmtId="0" fontId="12" fillId="16" borderId="0" xfId="0" applyFont="1" applyFill="1" applyAlignment="1">
      <alignment horizontal="center"/>
    </xf>
    <xf numFmtId="0" fontId="12" fillId="0" borderId="0" xfId="0" applyFont="1" applyAlignment="1">
      <alignment horizontal="center"/>
    </xf>
    <xf numFmtId="0" fontId="11" fillId="6" borderId="5" xfId="0" applyFont="1" applyFill="1" applyBorder="1"/>
    <xf numFmtId="0" fontId="12" fillId="6" borderId="0" xfId="0" applyFont="1" applyFill="1"/>
    <xf numFmtId="166" fontId="12" fillId="6" borderId="0" xfId="0" applyNumberFormat="1" applyFont="1" applyFill="1" applyAlignment="1">
      <alignment horizontal="center"/>
    </xf>
    <xf numFmtId="0" fontId="12" fillId="16" borderId="0" xfId="0" applyFont="1" applyFill="1"/>
    <xf numFmtId="0" fontId="12" fillId="6" borderId="0" xfId="0" applyFont="1" applyFill="1" applyAlignment="1">
      <alignment horizontal="center"/>
    </xf>
    <xf numFmtId="0" fontId="0" fillId="17" borderId="0" xfId="0" applyFill="1"/>
    <xf numFmtId="0" fontId="12" fillId="17" borderId="0" xfId="0" applyFont="1" applyFill="1"/>
    <xf numFmtId="0" fontId="11" fillId="17" borderId="0" xfId="0" applyFont="1" applyFill="1" applyAlignment="1">
      <alignment horizontal="center"/>
    </xf>
    <xf numFmtId="166" fontId="0" fillId="17" borderId="0" xfId="0" applyNumberFormat="1" applyFill="1"/>
    <xf numFmtId="166" fontId="12" fillId="17" borderId="0" xfId="0" applyNumberFormat="1" applyFont="1" applyFill="1" applyAlignment="1">
      <alignment horizontal="center"/>
    </xf>
    <xf numFmtId="0" fontId="12" fillId="17" borderId="0" xfId="0" applyFont="1" applyFill="1" applyAlignment="1">
      <alignment horizontal="center"/>
    </xf>
    <xf numFmtId="0" fontId="1" fillId="4" borderId="12" xfId="0" applyFont="1" applyFill="1" applyBorder="1" applyAlignment="1">
      <alignment horizontal="center"/>
    </xf>
    <xf numFmtId="0" fontId="1" fillId="17" borderId="13" xfId="0" applyFont="1" applyFill="1" applyBorder="1" applyAlignment="1">
      <alignment horizontal="center"/>
    </xf>
    <xf numFmtId="0" fontId="1" fillId="4" borderId="13" xfId="0" applyFont="1" applyFill="1" applyBorder="1" applyAlignment="1">
      <alignment horizontal="center"/>
    </xf>
    <xf numFmtId="0" fontId="1" fillId="17" borderId="14" xfId="0" applyFont="1" applyFill="1" applyBorder="1" applyAlignment="1">
      <alignment horizontal="center"/>
    </xf>
    <xf numFmtId="0" fontId="1" fillId="3" borderId="5" xfId="0" applyFont="1" applyFill="1" applyBorder="1"/>
    <xf numFmtId="0" fontId="1" fillId="14" borderId="115" xfId="0" applyFont="1" applyFill="1" applyBorder="1" applyAlignment="1">
      <alignment horizontal="center"/>
    </xf>
    <xf numFmtId="0" fontId="1" fillId="14" borderId="15" xfId="0" applyFont="1" applyFill="1" applyBorder="1" applyAlignment="1">
      <alignment horizontal="center"/>
    </xf>
    <xf numFmtId="0" fontId="0" fillId="0" borderId="104" xfId="0" applyBorder="1" applyAlignment="1">
      <alignment horizontal="center"/>
    </xf>
    <xf numFmtId="0" fontId="0" fillId="10" borderId="5" xfId="0" applyFill="1" applyBorder="1"/>
    <xf numFmtId="0" fontId="1" fillId="2" borderId="20" xfId="0" applyFont="1" applyFill="1" applyBorder="1" applyAlignment="1">
      <alignment horizontal="center"/>
    </xf>
    <xf numFmtId="0" fontId="1" fillId="2" borderId="21" xfId="0" applyFont="1" applyFill="1" applyBorder="1" applyAlignment="1">
      <alignment horizontal="center"/>
    </xf>
    <xf numFmtId="0" fontId="0" fillId="10" borderId="8" xfId="0" applyFill="1" applyBorder="1"/>
    <xf numFmtId="0" fontId="0" fillId="10" borderId="9" xfId="0" applyFill="1" applyBorder="1"/>
    <xf numFmtId="0" fontId="0" fillId="10" borderId="11" xfId="0" applyFill="1" applyBorder="1"/>
    <xf numFmtId="0" fontId="0" fillId="10" borderId="13" xfId="0" applyFill="1" applyBorder="1"/>
    <xf numFmtId="0" fontId="0" fillId="10" borderId="14" xfId="0" applyFill="1" applyBorder="1"/>
    <xf numFmtId="0" fontId="0" fillId="0" borderId="8" xfId="0" applyBorder="1"/>
    <xf numFmtId="0" fontId="0" fillId="0" borderId="9" xfId="0" applyBorder="1"/>
    <xf numFmtId="0" fontId="0" fillId="0" borderId="24" xfId="0" applyBorder="1"/>
    <xf numFmtId="0" fontId="1" fillId="2" borderId="43" xfId="0" applyFont="1" applyFill="1" applyBorder="1" applyAlignment="1">
      <alignment horizontal="center"/>
    </xf>
    <xf numFmtId="0" fontId="1" fillId="2" borderId="1" xfId="0" applyFont="1" applyFill="1" applyBorder="1" applyAlignment="1">
      <alignment horizontal="center"/>
    </xf>
    <xf numFmtId="0" fontId="1" fillId="10" borderId="56" xfId="0" applyFont="1" applyFill="1" applyBorder="1" applyAlignment="1">
      <alignment horizontal="center"/>
    </xf>
    <xf numFmtId="0" fontId="1" fillId="10" borderId="57" xfId="0" applyFont="1" applyFill="1" applyBorder="1" applyAlignment="1">
      <alignment horizontal="center"/>
    </xf>
    <xf numFmtId="0" fontId="1" fillId="10" borderId="58" xfId="0" applyFont="1" applyFill="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64" xfId="0" applyFont="1" applyBorder="1" applyAlignment="1">
      <alignment horizontal="center"/>
    </xf>
    <xf numFmtId="0" fontId="1" fillId="0" borderId="63" xfId="0" applyFont="1" applyBorder="1" applyAlignment="1">
      <alignment horizontal="center"/>
    </xf>
    <xf numFmtId="0" fontId="0" fillId="10" borderId="10" xfId="0" applyFill="1" applyBorder="1"/>
    <xf numFmtId="0" fontId="0" fillId="10" borderId="12" xfId="0" applyFill="1" applyBorder="1"/>
    <xf numFmtId="0" fontId="0" fillId="0" borderId="7" xfId="0" applyBorder="1"/>
    <xf numFmtId="0" fontId="0" fillId="0" borderId="10" xfId="0" applyBorder="1"/>
    <xf numFmtId="0" fontId="0" fillId="0" borderId="33" xfId="0" applyBorder="1"/>
    <xf numFmtId="0" fontId="0" fillId="0" borderId="25" xfId="0" applyBorder="1"/>
    <xf numFmtId="165" fontId="0" fillId="0" borderId="68" xfId="0" applyNumberFormat="1" applyBorder="1"/>
    <xf numFmtId="165" fontId="0" fillId="0" borderId="18" xfId="0" applyNumberFormat="1" applyBorder="1"/>
    <xf numFmtId="165" fontId="0" fillId="0" borderId="46" xfId="0" applyNumberFormat="1" applyBorder="1"/>
    <xf numFmtId="0" fontId="1" fillId="10" borderId="1" xfId="0" applyFont="1" applyFill="1" applyBorder="1" applyAlignment="1">
      <alignment horizontal="center"/>
    </xf>
    <xf numFmtId="0" fontId="0" fillId="0" borderId="64" xfId="0" applyBorder="1"/>
    <xf numFmtId="0" fontId="0" fillId="0" borderId="57" xfId="0" applyBorder="1"/>
    <xf numFmtId="0" fontId="0" fillId="0" borderId="58" xfId="0" applyBorder="1"/>
    <xf numFmtId="165" fontId="0" fillId="0" borderId="56" xfId="0" applyNumberFormat="1" applyBorder="1"/>
    <xf numFmtId="165" fontId="0" fillId="0" borderId="57" xfId="0" applyNumberFormat="1" applyBorder="1"/>
    <xf numFmtId="165" fontId="0" fillId="0" borderId="63" xfId="0" applyNumberFormat="1" applyBorder="1"/>
    <xf numFmtId="0" fontId="0" fillId="0" borderId="0" xfId="0" applyBorder="1" applyAlignment="1">
      <alignment horizontal="center"/>
    </xf>
    <xf numFmtId="0" fontId="1" fillId="3" borderId="68"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5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0" fillId="0" borderId="68"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54" xfId="0" applyBorder="1" applyAlignment="1">
      <alignment horizontal="center"/>
    </xf>
    <xf numFmtId="0" fontId="0" fillId="0" borderId="14" xfId="0" applyBorder="1" applyAlignment="1">
      <alignment horizontal="center"/>
    </xf>
    <xf numFmtId="0" fontId="0" fillId="10" borderId="68" xfId="0" applyFill="1" applyBorder="1" applyAlignment="1">
      <alignment horizontal="center"/>
    </xf>
    <xf numFmtId="0" fontId="0" fillId="10" borderId="8" xfId="0" applyFill="1" applyBorder="1" applyAlignment="1">
      <alignment horizontal="center"/>
    </xf>
    <xf numFmtId="0" fontId="0" fillId="10" borderId="9" xfId="0" applyFill="1" applyBorder="1" applyAlignment="1">
      <alignment horizontal="center"/>
    </xf>
    <xf numFmtId="0" fontId="0" fillId="10" borderId="54" xfId="0" applyFill="1" applyBorder="1" applyAlignment="1">
      <alignment horizontal="center"/>
    </xf>
    <xf numFmtId="0" fontId="0" fillId="10" borderId="13" xfId="0" applyFill="1" applyBorder="1" applyAlignment="1">
      <alignment horizontal="center"/>
    </xf>
    <xf numFmtId="0" fontId="0" fillId="0" borderId="42" xfId="0" applyBorder="1" applyAlignment="1">
      <alignment horizontal="center"/>
    </xf>
    <xf numFmtId="0" fontId="0" fillId="0" borderId="60" xfId="0" applyBorder="1" applyAlignment="1">
      <alignment horizontal="center"/>
    </xf>
    <xf numFmtId="0" fontId="0" fillId="10" borderId="60" xfId="0" applyFill="1" applyBorder="1" applyAlignment="1">
      <alignment horizontal="center"/>
    </xf>
    <xf numFmtId="0" fontId="1" fillId="3" borderId="6" xfId="0" applyFont="1" applyFill="1" applyBorder="1" applyAlignment="1">
      <alignment horizontal="center"/>
    </xf>
    <xf numFmtId="0" fontId="1" fillId="3" borderId="120" xfId="0" applyFont="1" applyFill="1" applyBorder="1" applyAlignment="1">
      <alignment horizontal="center"/>
    </xf>
    <xf numFmtId="0" fontId="0" fillId="3" borderId="120" xfId="0" applyFill="1" applyBorder="1" applyAlignment="1">
      <alignment horizontal="center"/>
    </xf>
    <xf numFmtId="0" fontId="15" fillId="0" borderId="0" xfId="0" applyFont="1" applyAlignment="1">
      <alignment horizontal="center" vertical="center"/>
    </xf>
    <xf numFmtId="2" fontId="4" fillId="0" borderId="0" xfId="0" applyNumberFormat="1" applyFont="1" applyAlignment="1">
      <alignment horizontal="center" vertical="center"/>
    </xf>
    <xf numFmtId="165" fontId="1" fillId="3" borderId="56" xfId="0" applyNumberFormat="1" applyFont="1" applyFill="1" applyBorder="1"/>
    <xf numFmtId="165" fontId="1" fillId="3" borderId="68" xfId="0" applyNumberFormat="1" applyFont="1" applyFill="1" applyBorder="1"/>
    <xf numFmtId="165" fontId="1" fillId="3" borderId="8" xfId="0" applyNumberFormat="1" applyFont="1" applyFill="1" applyBorder="1"/>
    <xf numFmtId="165" fontId="1" fillId="3" borderId="9" xfId="0" applyNumberFormat="1" applyFont="1" applyFill="1" applyBorder="1"/>
    <xf numFmtId="0" fontId="1" fillId="10" borderId="10" xfId="0" applyFont="1" applyFill="1" applyBorder="1" applyAlignment="1">
      <alignment horizontal="center" vertical="center"/>
    </xf>
    <xf numFmtId="2" fontId="0" fillId="0" borderId="5" xfId="0" applyNumberFormat="1" applyFont="1" applyFill="1" applyBorder="1" applyAlignment="1">
      <alignment horizontal="center" vertical="center"/>
    </xf>
    <xf numFmtId="0" fontId="1" fillId="10" borderId="15" xfId="0" applyFont="1" applyFill="1" applyBorder="1" applyAlignment="1">
      <alignment horizontal="center" vertical="center"/>
    </xf>
    <xf numFmtId="2" fontId="0" fillId="0" borderId="16" xfId="0" applyNumberFormat="1" applyFont="1" applyFill="1" applyBorder="1" applyAlignment="1">
      <alignment horizontal="center" vertical="center"/>
    </xf>
    <xf numFmtId="0" fontId="1" fillId="2" borderId="7" xfId="0" applyFont="1" applyFill="1" applyBorder="1" applyAlignment="1">
      <alignment horizontal="center"/>
    </xf>
    <xf numFmtId="0" fontId="1" fillId="2" borderId="15" xfId="0" applyFont="1" applyFill="1" applyBorder="1" applyAlignment="1">
      <alignment horizontal="center"/>
    </xf>
    <xf numFmtId="0" fontId="1" fillId="2" borderId="12" xfId="0" applyFont="1" applyFill="1" applyBorder="1"/>
    <xf numFmtId="2" fontId="0" fillId="9" borderId="16" xfId="0" applyNumberFormat="1" applyFont="1" applyFill="1" applyBorder="1" applyAlignment="1">
      <alignment horizontal="center" vertical="center"/>
    </xf>
    <xf numFmtId="0" fontId="0" fillId="9" borderId="16" xfId="0" applyFont="1" applyFill="1" applyBorder="1" applyAlignment="1">
      <alignment horizontal="center" vertical="center"/>
    </xf>
    <xf numFmtId="2" fontId="0" fillId="9" borderId="5" xfId="0" applyNumberFormat="1" applyFont="1" applyFill="1" applyBorder="1" applyAlignment="1">
      <alignment horizontal="center" vertical="center"/>
    </xf>
    <xf numFmtId="0" fontId="0" fillId="9" borderId="5" xfId="0" applyFont="1" applyFill="1" applyBorder="1" applyAlignment="1">
      <alignment horizontal="center" vertical="center"/>
    </xf>
    <xf numFmtId="2" fontId="0" fillId="0" borderId="11" xfId="0" applyNumberFormat="1" applyFont="1" applyFill="1" applyBorder="1" applyAlignment="1">
      <alignment horizontal="center" vertical="center"/>
    </xf>
    <xf numFmtId="2" fontId="0" fillId="0" borderId="17" xfId="0" applyNumberFormat="1" applyFont="1" applyFill="1" applyBorder="1" applyAlignment="1">
      <alignment horizontal="center" vertical="center"/>
    </xf>
    <xf numFmtId="2" fontId="1" fillId="9" borderId="60" xfId="0" applyNumberFormat="1" applyFont="1" applyFill="1" applyBorder="1" applyAlignment="1">
      <alignment horizontal="center"/>
    </xf>
    <xf numFmtId="0" fontId="0" fillId="0" borderId="0" xfId="0" applyFill="1" applyBorder="1"/>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0" fontId="1" fillId="9" borderId="55" xfId="0" applyFont="1" applyFill="1" applyBorder="1" applyAlignment="1">
      <alignment horizontal="center"/>
    </xf>
    <xf numFmtId="2" fontId="0" fillId="0" borderId="24"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2" fontId="0" fillId="3" borderId="20" xfId="0" applyNumberFormat="1" applyFont="1" applyFill="1" applyBorder="1" applyAlignment="1">
      <alignment horizontal="center" vertical="center"/>
    </xf>
    <xf numFmtId="2" fontId="0" fillId="3" borderId="21" xfId="0" applyNumberFormat="1" applyFont="1" applyFill="1" applyBorder="1" applyAlignment="1">
      <alignment horizontal="center" vertical="center"/>
    </xf>
    <xf numFmtId="0" fontId="1" fillId="10" borderId="116" xfId="0" applyFont="1" applyFill="1" applyBorder="1" applyAlignment="1">
      <alignment horizontal="center" vertical="center"/>
    </xf>
    <xf numFmtId="0" fontId="1" fillId="10" borderId="35" xfId="0" applyFont="1" applyFill="1" applyBorder="1" applyAlignment="1">
      <alignment horizontal="center"/>
    </xf>
    <xf numFmtId="0" fontId="1" fillId="10" borderId="117" xfId="0" applyFont="1" applyFill="1" applyBorder="1" applyAlignment="1">
      <alignment horizontal="center" vertical="center"/>
    </xf>
    <xf numFmtId="0" fontId="1" fillId="2" borderId="13" xfId="0" applyFont="1" applyFill="1" applyBorder="1" applyAlignment="1">
      <alignment horizontal="center"/>
    </xf>
    <xf numFmtId="0" fontId="1" fillId="0" borderId="0" xfId="0" applyFont="1" applyFill="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6" xfId="0" applyBorder="1"/>
    <xf numFmtId="0" fontId="1" fillId="10" borderId="43"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1" fillId="10" borderId="21" xfId="0" applyFont="1" applyFill="1" applyBorder="1" applyAlignment="1">
      <alignment horizontal="center"/>
    </xf>
    <xf numFmtId="2" fontId="0" fillId="0" borderId="5" xfId="0" applyNumberFormat="1" applyFill="1" applyBorder="1" applyAlignment="1">
      <alignment horizontal="center"/>
    </xf>
    <xf numFmtId="2" fontId="0" fillId="0" borderId="5" xfId="0" applyNumberFormat="1" applyBorder="1" applyAlignment="1">
      <alignment horizontal="center"/>
    </xf>
    <xf numFmtId="0" fontId="1" fillId="4" borderId="1" xfId="0" applyFont="1" applyFill="1" applyBorder="1" applyAlignment="1">
      <alignment horizontal="center"/>
    </xf>
    <xf numFmtId="0" fontId="1" fillId="3" borderId="18" xfId="0" applyFont="1" applyFill="1" applyBorder="1"/>
    <xf numFmtId="0" fontId="0" fillId="0" borderId="1" xfId="0" applyBorder="1" applyAlignment="1">
      <alignment horizontal="center"/>
    </xf>
    <xf numFmtId="0" fontId="1" fillId="3" borderId="1" xfId="0" applyFont="1" applyFill="1" applyBorder="1" applyAlignment="1">
      <alignment horizontal="center"/>
    </xf>
    <xf numFmtId="0" fontId="0" fillId="0" borderId="57" xfId="0" applyFill="1" applyBorder="1" applyAlignment="1">
      <alignment horizontal="center"/>
    </xf>
    <xf numFmtId="0" fontId="0" fillId="0" borderId="58" xfId="0" applyFill="1" applyBorder="1" applyAlignment="1">
      <alignment horizontal="center"/>
    </xf>
    <xf numFmtId="0" fontId="0" fillId="0" borderId="63" xfId="0" applyBorder="1" applyAlignment="1">
      <alignment horizontal="center"/>
    </xf>
    <xf numFmtId="0" fontId="0" fillId="0" borderId="63" xfId="0" applyBorder="1"/>
    <xf numFmtId="0" fontId="0" fillId="0" borderId="57" xfId="0" applyFill="1" applyBorder="1"/>
    <xf numFmtId="0" fontId="0" fillId="0" borderId="58" xfId="0" applyFill="1" applyBorder="1"/>
    <xf numFmtId="0" fontId="0" fillId="0" borderId="6" xfId="0" applyBorder="1"/>
    <xf numFmtId="0" fontId="0" fillId="0" borderId="57" xfId="0" applyFont="1" applyFill="1" applyBorder="1" applyAlignment="1"/>
    <xf numFmtId="0" fontId="0" fillId="0" borderId="57" xfId="0" applyFont="1" applyFill="1" applyBorder="1" applyAlignment="1">
      <alignment vertical="center"/>
    </xf>
    <xf numFmtId="0" fontId="0" fillId="0" borderId="58" xfId="0" applyFont="1" applyFill="1" applyBorder="1" applyAlignment="1"/>
    <xf numFmtId="0" fontId="0" fillId="0" borderId="56" xfId="0" applyFont="1" applyBorder="1" applyAlignment="1">
      <alignment horizontal="center"/>
    </xf>
    <xf numFmtId="0" fontId="0" fillId="0" borderId="57" xfId="0" applyFont="1" applyFill="1" applyBorder="1" applyAlignment="1">
      <alignment horizontal="center"/>
    </xf>
    <xf numFmtId="0" fontId="0" fillId="0" borderId="58" xfId="0" applyFont="1" applyFill="1" applyBorder="1" applyAlignment="1">
      <alignment horizontal="center"/>
    </xf>
    <xf numFmtId="0" fontId="1" fillId="10" borderId="22" xfId="0" applyFont="1" applyFill="1" applyBorder="1" applyAlignment="1">
      <alignment horizontal="center"/>
    </xf>
    <xf numFmtId="165" fontId="1" fillId="10" borderId="34" xfId="0" applyNumberFormat="1" applyFont="1" applyFill="1" applyBorder="1" applyAlignment="1">
      <alignment horizontal="center"/>
    </xf>
    <xf numFmtId="165" fontId="1" fillId="3" borderId="65" xfId="0" applyNumberFormat="1" applyFont="1" applyFill="1" applyBorder="1"/>
    <xf numFmtId="165" fontId="1" fillId="3" borderId="69" xfId="0" applyNumberFormat="1" applyFont="1" applyFill="1" applyBorder="1"/>
    <xf numFmtId="165" fontId="1" fillId="3" borderId="23" xfId="0" applyNumberFormat="1" applyFont="1" applyFill="1" applyBorder="1"/>
    <xf numFmtId="165" fontId="1" fillId="3" borderId="34" xfId="0" applyNumberFormat="1" applyFont="1" applyFill="1" applyBorder="1"/>
    <xf numFmtId="0" fontId="1" fillId="10" borderId="51" xfId="0" applyFont="1" applyFill="1" applyBorder="1" applyAlignment="1">
      <alignment horizontal="center"/>
    </xf>
    <xf numFmtId="16" fontId="0" fillId="10" borderId="11" xfId="0" applyNumberFormat="1" applyFill="1" applyBorder="1" applyAlignment="1">
      <alignment horizontal="center"/>
    </xf>
    <xf numFmtId="0" fontId="1" fillId="0" borderId="6" xfId="0" applyFont="1" applyFill="1" applyBorder="1" applyAlignment="1">
      <alignment horizontal="center"/>
    </xf>
    <xf numFmtId="0" fontId="1" fillId="0" borderId="51" xfId="0" applyFont="1" applyFill="1" applyBorder="1" applyAlignment="1">
      <alignment horizontal="center"/>
    </xf>
    <xf numFmtId="0" fontId="1" fillId="0" borderId="52" xfId="0" applyFont="1" applyFill="1" applyBorder="1" applyAlignment="1">
      <alignment horizontal="center"/>
    </xf>
    <xf numFmtId="0" fontId="1" fillId="0" borderId="53" xfId="0" applyFont="1" applyFill="1" applyBorder="1" applyAlignment="1">
      <alignment horizontal="center"/>
    </xf>
    <xf numFmtId="16" fontId="0" fillId="10" borderId="53" xfId="0" applyNumberFormat="1" applyFont="1" applyFill="1" applyBorder="1" applyAlignment="1">
      <alignment horizontal="center"/>
    </xf>
    <xf numFmtId="0" fontId="1" fillId="10" borderId="60" xfId="0" applyFont="1" applyFill="1" applyBorder="1" applyAlignment="1">
      <alignment horizontal="center"/>
    </xf>
    <xf numFmtId="165" fontId="1" fillId="3" borderId="58" xfId="0" applyNumberFormat="1" applyFont="1" applyFill="1" applyBorder="1"/>
    <xf numFmtId="165" fontId="1" fillId="3" borderId="54" xfId="0" applyNumberFormat="1" applyFont="1" applyFill="1" applyBorder="1"/>
    <xf numFmtId="165" fontId="1" fillId="3" borderId="13" xfId="0" applyNumberFormat="1" applyFont="1" applyFill="1" applyBorder="1"/>
    <xf numFmtId="165" fontId="1" fillId="3" borderId="14" xfId="0" applyNumberFormat="1" applyFont="1" applyFill="1" applyBorder="1"/>
    <xf numFmtId="2" fontId="0" fillId="0" borderId="13" xfId="0" applyNumberFormat="1" applyBorder="1" applyAlignment="1">
      <alignment horizontal="center"/>
    </xf>
    <xf numFmtId="2" fontId="0" fillId="0" borderId="7" xfId="0" applyNumberFormat="1" applyFill="1" applyBorder="1" applyAlignment="1">
      <alignment horizontal="center"/>
    </xf>
    <xf numFmtId="2" fontId="0" fillId="0" borderId="8" xfId="0" applyNumberFormat="1" applyFill="1" applyBorder="1" applyAlignment="1">
      <alignment horizontal="center"/>
    </xf>
    <xf numFmtId="2" fontId="0" fillId="0" borderId="9" xfId="0" applyNumberFormat="1" applyBorder="1" applyAlignment="1">
      <alignment horizontal="center"/>
    </xf>
    <xf numFmtId="2" fontId="0" fillId="0" borderId="10" xfId="0" applyNumberFormat="1" applyFill="1" applyBorder="1" applyAlignment="1">
      <alignment horizontal="center"/>
    </xf>
    <xf numFmtId="2" fontId="0" fillId="0" borderId="11" xfId="0" applyNumberFormat="1" applyBorder="1" applyAlignment="1">
      <alignment horizontal="center"/>
    </xf>
    <xf numFmtId="2" fontId="0" fillId="0" borderId="10" xfId="0" applyNumberFormat="1" applyBorder="1" applyAlignment="1">
      <alignment horizontal="center"/>
    </xf>
    <xf numFmtId="2" fontId="0" fillId="0" borderId="12" xfId="0" applyNumberFormat="1" applyBorder="1" applyAlignment="1">
      <alignment horizontal="center"/>
    </xf>
    <xf numFmtId="2" fontId="0" fillId="0" borderId="14" xfId="0" applyNumberFormat="1" applyBorder="1" applyAlignment="1">
      <alignment horizontal="center"/>
    </xf>
    <xf numFmtId="0" fontId="1" fillId="4" borderId="67" xfId="0" applyFont="1" applyFill="1" applyBorder="1"/>
    <xf numFmtId="0" fontId="1" fillId="4" borderId="42" xfId="0" applyFont="1" applyFill="1" applyBorder="1"/>
    <xf numFmtId="2" fontId="0" fillId="0" borderId="7" xfId="0" applyNumberFormat="1" applyBorder="1" applyAlignment="1">
      <alignment horizontal="center"/>
    </xf>
    <xf numFmtId="2" fontId="0" fillId="0" borderId="8" xfId="0" applyNumberFormat="1" applyBorder="1" applyAlignment="1">
      <alignment horizontal="center"/>
    </xf>
    <xf numFmtId="0" fontId="0" fillId="0" borderId="56" xfId="0" applyFill="1" applyBorder="1" applyAlignment="1">
      <alignment horizontal="center"/>
    </xf>
    <xf numFmtId="2" fontId="0" fillId="0" borderId="56" xfId="0" applyNumberFormat="1" applyBorder="1" applyAlignment="1">
      <alignment horizontal="center"/>
    </xf>
    <xf numFmtId="2" fontId="0" fillId="0" borderId="57" xfId="0" applyNumberFormat="1" applyBorder="1" applyAlignment="1">
      <alignment horizontal="center"/>
    </xf>
    <xf numFmtId="2" fontId="0" fillId="0" borderId="58" xfId="0" applyNumberFormat="1" applyBorder="1" applyAlignment="1">
      <alignment horizontal="center"/>
    </xf>
    <xf numFmtId="0" fontId="1" fillId="4" borderId="61" xfId="0" applyFont="1" applyFill="1" applyBorder="1"/>
    <xf numFmtId="0" fontId="1" fillId="4" borderId="33" xfId="0" applyFont="1" applyFill="1" applyBorder="1" applyAlignment="1">
      <alignment horizontal="center"/>
    </xf>
    <xf numFmtId="0" fontId="1" fillId="4" borderId="24" xfId="0" applyFont="1" applyFill="1" applyBorder="1" applyAlignment="1">
      <alignment horizontal="center"/>
    </xf>
    <xf numFmtId="0" fontId="1" fillId="4" borderId="25" xfId="0" applyFont="1" applyFill="1" applyBorder="1" applyAlignment="1">
      <alignment horizontal="center"/>
    </xf>
    <xf numFmtId="0" fontId="1" fillId="4" borderId="62" xfId="0" applyFont="1" applyFill="1" applyBorder="1"/>
    <xf numFmtId="0" fontId="0" fillId="10" borderId="2" xfId="0" applyFill="1" applyBorder="1" applyAlignment="1">
      <alignment horizontal="center"/>
    </xf>
    <xf numFmtId="2" fontId="0" fillId="10" borderId="19" xfId="0" applyNumberFormat="1" applyFill="1" applyBorder="1" applyAlignment="1">
      <alignment horizontal="center"/>
    </xf>
    <xf numFmtId="2" fontId="0" fillId="10" borderId="20" xfId="0" applyNumberFormat="1" applyFill="1" applyBorder="1" applyAlignment="1">
      <alignment horizontal="center"/>
    </xf>
    <xf numFmtId="2" fontId="0" fillId="10" borderId="21" xfId="0" applyNumberFormat="1" applyFill="1" applyBorder="1" applyAlignment="1">
      <alignment horizontal="center"/>
    </xf>
    <xf numFmtId="0" fontId="0" fillId="10" borderId="4" xfId="0" applyFill="1" applyBorder="1"/>
    <xf numFmtId="0" fontId="0" fillId="0" borderId="0" xfId="0" applyAlignment="1">
      <alignment horizontal="center"/>
    </xf>
    <xf numFmtId="0" fontId="3" fillId="15" borderId="56" xfId="0" applyFont="1" applyFill="1" applyBorder="1" applyAlignment="1">
      <alignment horizontal="center"/>
    </xf>
    <xf numFmtId="0" fontId="2" fillId="15" borderId="7" xfId="0" applyFont="1" applyFill="1" applyBorder="1"/>
    <xf numFmtId="0" fontId="2" fillId="15" borderId="8" xfId="0" applyFont="1" applyFill="1" applyBorder="1"/>
    <xf numFmtId="0" fontId="2" fillId="15" borderId="9" xfId="0" applyFont="1" applyFill="1" applyBorder="1"/>
    <xf numFmtId="0" fontId="3" fillId="15" borderId="64" xfId="0" applyFont="1" applyFill="1" applyBorder="1" applyAlignment="1">
      <alignment horizontal="center"/>
    </xf>
    <xf numFmtId="0" fontId="2" fillId="15" borderId="15" xfId="0" applyFont="1" applyFill="1" applyBorder="1"/>
    <xf numFmtId="0" fontId="2" fillId="15" borderId="16" xfId="0" applyFont="1" applyFill="1" applyBorder="1"/>
    <xf numFmtId="0" fontId="2" fillId="15" borderId="17" xfId="0" applyFont="1" applyFill="1" applyBorder="1"/>
    <xf numFmtId="0" fontId="1" fillId="15" borderId="65" xfId="0" applyFont="1" applyFill="1" applyBorder="1" applyAlignment="1">
      <alignment horizontal="center"/>
    </xf>
    <xf numFmtId="0" fontId="0" fillId="15" borderId="22" xfId="0" applyFill="1" applyBorder="1"/>
    <xf numFmtId="0" fontId="0" fillId="15" borderId="23" xfId="0" applyFill="1" applyBorder="1"/>
    <xf numFmtId="0" fontId="0" fillId="15" borderId="34" xfId="0" applyFill="1" applyBorder="1"/>
    <xf numFmtId="0" fontId="0" fillId="0" borderId="0" xfId="0" applyBorder="1" applyAlignment="1">
      <alignment horizontal="left"/>
    </xf>
    <xf numFmtId="0" fontId="1" fillId="0" borderId="57" xfId="0" applyFont="1" applyFill="1" applyBorder="1" applyAlignment="1">
      <alignment horizontal="center"/>
    </xf>
    <xf numFmtId="0" fontId="1" fillId="0" borderId="57" xfId="0" applyFont="1" applyFill="1" applyBorder="1" applyAlignment="1"/>
    <xf numFmtId="0" fontId="2" fillId="0" borderId="39" xfId="0" applyFont="1" applyBorder="1" applyAlignment="1">
      <alignment horizontal="center"/>
    </xf>
    <xf numFmtId="0" fontId="0" fillId="0" borderId="18" xfId="0" applyBorder="1" applyAlignment="1">
      <alignment horizontal="left"/>
    </xf>
    <xf numFmtId="0" fontId="0" fillId="0" borderId="5" xfId="0" applyBorder="1" applyAlignment="1">
      <alignment horizontal="left"/>
    </xf>
    <xf numFmtId="0" fontId="0" fillId="0" borderId="11" xfId="0" applyBorder="1" applyAlignment="1">
      <alignment horizontal="left"/>
    </xf>
    <xf numFmtId="0" fontId="16" fillId="4" borderId="38" xfId="0" applyFont="1" applyFill="1" applyBorder="1" applyAlignment="1">
      <alignment horizontal="center"/>
    </xf>
    <xf numFmtId="0" fontId="16" fillId="4" borderId="39" xfId="0" applyFont="1" applyFill="1" applyBorder="1" applyAlignment="1">
      <alignment horizontal="center"/>
    </xf>
    <xf numFmtId="0" fontId="16" fillId="4" borderId="48" xfId="0" applyFont="1" applyFill="1" applyBorder="1" applyAlignment="1">
      <alignment horizontal="center"/>
    </xf>
    <xf numFmtId="0" fontId="16" fillId="4" borderId="35" xfId="0" applyFont="1" applyFill="1" applyBorder="1" applyAlignment="1">
      <alignment horizontal="center"/>
    </xf>
    <xf numFmtId="0" fontId="16" fillId="4" borderId="36" xfId="0" applyFont="1" applyFill="1" applyBorder="1" applyAlignment="1">
      <alignment horizontal="center"/>
    </xf>
    <xf numFmtId="0" fontId="16" fillId="4" borderId="37" xfId="0" applyFont="1" applyFill="1" applyBorder="1" applyAlignment="1">
      <alignment horizontal="center"/>
    </xf>
    <xf numFmtId="0" fontId="0" fillId="0" borderId="31" xfId="0" applyBorder="1" applyAlignment="1">
      <alignment horizontal="left"/>
    </xf>
    <xf numFmtId="0" fontId="0" fillId="0" borderId="32" xfId="0" applyBorder="1" applyAlignment="1">
      <alignment horizontal="left"/>
    </xf>
    <xf numFmtId="0" fontId="2" fillId="0" borderId="0" xfId="0" applyFont="1" applyBorder="1" applyAlignment="1">
      <alignment horizontal="center"/>
    </xf>
    <xf numFmtId="0" fontId="0" fillId="0" borderId="10" xfId="0" applyBorder="1" applyAlignment="1">
      <alignment horizontal="left"/>
    </xf>
    <xf numFmtId="0" fontId="0" fillId="0" borderId="0" xfId="0" applyAlignment="1">
      <alignment horizontal="center"/>
    </xf>
    <xf numFmtId="0" fontId="0" fillId="0" borderId="41" xfId="0" applyBorder="1" applyAlignment="1">
      <alignment horizontal="left"/>
    </xf>
    <xf numFmtId="0" fontId="0" fillId="0" borderId="42" xfId="0" applyBorder="1" applyAlignment="1">
      <alignment horizontal="left"/>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8"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0" fillId="0" borderId="26" xfId="0"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5"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2" fillId="0" borderId="3" xfId="0" applyFont="1" applyBorder="1" applyAlignment="1">
      <alignment horizontal="center"/>
    </xf>
    <xf numFmtId="0" fontId="8" fillId="0" borderId="3" xfId="0" applyFont="1" applyFill="1" applyBorder="1" applyAlignment="1">
      <alignment horizontal="center"/>
    </xf>
    <xf numFmtId="0" fontId="0" fillId="0" borderId="54"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66" xfId="0" applyBorder="1" applyAlignment="1">
      <alignment horizontal="left"/>
    </xf>
    <xf numFmtId="0" fontId="0" fillId="0" borderId="55" xfId="0" applyBorder="1" applyAlignment="1">
      <alignment horizontal="left"/>
    </xf>
    <xf numFmtId="0" fontId="0" fillId="0" borderId="60" xfId="0" applyBorder="1" applyAlignment="1">
      <alignment horizontal="left"/>
    </xf>
    <xf numFmtId="0" fontId="0" fillId="0" borderId="0" xfId="0" applyAlignment="1">
      <alignment horizontal="left"/>
    </xf>
    <xf numFmtId="0" fontId="0" fillId="0" borderId="12" xfId="0"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0" fillId="0" borderId="74" xfId="0" applyBorder="1" applyAlignment="1" applyProtection="1">
      <alignment horizontal="left"/>
      <protection locked="0"/>
    </xf>
    <xf numFmtId="0" fontId="0" fillId="0" borderId="70" xfId="0" applyBorder="1" applyAlignment="1" applyProtection="1">
      <alignment horizontal="left"/>
      <protection locked="0"/>
    </xf>
    <xf numFmtId="0" fontId="0" fillId="0" borderId="75" xfId="0" applyBorder="1" applyAlignment="1" applyProtection="1">
      <alignment horizontal="left"/>
      <protection locked="0"/>
    </xf>
    <xf numFmtId="0" fontId="0" fillId="0" borderId="76" xfId="0" applyBorder="1" applyAlignment="1" applyProtection="1">
      <alignment horizontal="left"/>
      <protection locked="0"/>
    </xf>
    <xf numFmtId="0" fontId="0" fillId="0" borderId="77" xfId="0" applyBorder="1" applyAlignment="1" applyProtection="1">
      <alignment horizontal="left"/>
      <protection locked="0"/>
    </xf>
    <xf numFmtId="0" fontId="0" fillId="0" borderId="78" xfId="0" applyBorder="1" applyAlignment="1" applyProtection="1">
      <alignment horizontal="left"/>
      <protection locked="0"/>
    </xf>
    <xf numFmtId="0" fontId="1" fillId="4" borderId="7"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0" fillId="0" borderId="111" xfId="0" applyBorder="1" applyAlignment="1" applyProtection="1">
      <alignment horizontal="left"/>
      <protection locked="0"/>
    </xf>
    <xf numFmtId="0" fontId="0" fillId="0" borderId="112" xfId="0" applyBorder="1" applyAlignment="1" applyProtection="1">
      <alignment horizontal="left"/>
      <protection locked="0"/>
    </xf>
    <xf numFmtId="0" fontId="0" fillId="0" borderId="109" xfId="0" applyBorder="1" applyAlignment="1" applyProtection="1">
      <alignment horizontal="left"/>
      <protection locked="0"/>
    </xf>
    <xf numFmtId="0" fontId="0" fillId="0" borderId="71" xfId="0" applyBorder="1" applyAlignment="1" applyProtection="1">
      <alignment horizontal="left"/>
      <protection locked="0"/>
    </xf>
    <xf numFmtId="0" fontId="0" fillId="0" borderId="72" xfId="0" applyBorder="1" applyAlignment="1" applyProtection="1">
      <alignment horizontal="left"/>
      <protection locked="0"/>
    </xf>
    <xf numFmtId="0" fontId="0" fillId="0" borderId="73" xfId="0" applyBorder="1" applyAlignment="1" applyProtection="1">
      <alignment horizontal="left"/>
      <protection locked="0"/>
    </xf>
    <xf numFmtId="0" fontId="0" fillId="0" borderId="113" xfId="0" applyBorder="1" applyAlignment="1" applyProtection="1">
      <alignment horizontal="left"/>
      <protection locked="0"/>
    </xf>
    <xf numFmtId="0" fontId="0" fillId="0" borderId="89" xfId="0" applyBorder="1" applyAlignment="1" applyProtection="1">
      <alignment horizontal="left"/>
      <protection locked="0"/>
    </xf>
    <xf numFmtId="0" fontId="0" fillId="0" borderId="114" xfId="0" applyBorder="1" applyAlignment="1" applyProtection="1">
      <alignment horizontal="left"/>
      <protection locked="0"/>
    </xf>
    <xf numFmtId="0" fontId="1" fillId="4" borderId="2"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6" borderId="5" xfId="0" applyFill="1" applyBorder="1" applyAlignment="1" applyProtection="1">
      <alignment horizontal="center"/>
      <protection locked="0"/>
    </xf>
    <xf numFmtId="0" fontId="0" fillId="6" borderId="11" xfId="0" applyFill="1" applyBorder="1" applyAlignment="1" applyProtection="1">
      <alignment horizontal="center"/>
      <protection locked="0"/>
    </xf>
    <xf numFmtId="0" fontId="0" fillId="10" borderId="67" xfId="0" applyFill="1" applyBorder="1" applyAlignment="1" applyProtection="1">
      <alignment horizontal="center"/>
      <protection locked="0"/>
    </xf>
    <xf numFmtId="0" fontId="0" fillId="10" borderId="68" xfId="0" applyFill="1" applyBorder="1" applyAlignment="1" applyProtection="1">
      <alignment horizontal="center"/>
      <protection locked="0"/>
    </xf>
    <xf numFmtId="0" fontId="0" fillId="10" borderId="26" xfId="0" applyFill="1" applyBorder="1" applyAlignment="1" applyProtection="1">
      <alignment horizontal="center"/>
      <protection locked="0"/>
    </xf>
    <xf numFmtId="0" fontId="0" fillId="10" borderId="18" xfId="0" applyFill="1" applyBorder="1" applyAlignment="1" applyProtection="1">
      <alignment horizontal="center"/>
      <protection locked="0"/>
    </xf>
    <xf numFmtId="0" fontId="1" fillId="4" borderId="22" xfId="0" applyFont="1" applyFill="1" applyBorder="1" applyAlignment="1" applyProtection="1">
      <alignment horizontal="left"/>
      <protection locked="0"/>
    </xf>
    <xf numFmtId="0" fontId="1" fillId="4" borderId="23" xfId="0" applyFont="1" applyFill="1" applyBorder="1" applyAlignment="1" applyProtection="1">
      <alignment horizontal="left"/>
      <protection locked="0"/>
    </xf>
    <xf numFmtId="0" fontId="1" fillId="4" borderId="34" xfId="0" applyFont="1" applyFill="1" applyBorder="1" applyAlignment="1" applyProtection="1">
      <alignment horizontal="left"/>
      <protection locked="0"/>
    </xf>
    <xf numFmtId="0" fontId="0" fillId="0" borderId="0" xfId="0" applyAlignment="1" applyProtection="1">
      <alignment horizontal="center"/>
      <protection locked="0"/>
    </xf>
    <xf numFmtId="0" fontId="0" fillId="0" borderId="69" xfId="0"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10"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1" fillId="4" borderId="79" xfId="0" applyFont="1" applyFill="1" applyBorder="1" applyAlignment="1" applyProtection="1">
      <alignment horizontal="center"/>
      <protection locked="0"/>
    </xf>
    <xf numFmtId="0" fontId="1" fillId="4" borderId="80" xfId="0" applyFont="1" applyFill="1" applyBorder="1" applyAlignment="1" applyProtection="1">
      <alignment horizontal="center"/>
      <protection locked="0"/>
    </xf>
    <xf numFmtId="0" fontId="1" fillId="4" borderId="81" xfId="0" applyFont="1" applyFill="1" applyBorder="1" applyAlignment="1" applyProtection="1">
      <alignment horizontal="center"/>
      <protection locked="0"/>
    </xf>
    <xf numFmtId="0" fontId="0" fillId="0" borderId="82" xfId="0" applyBorder="1" applyAlignment="1" applyProtection="1">
      <alignment horizontal="left"/>
      <protection locked="0"/>
    </xf>
    <xf numFmtId="0" fontId="0" fillId="0" borderId="0" xfId="0" applyAlignment="1" applyProtection="1">
      <alignment horizontal="left"/>
      <protection locked="0"/>
    </xf>
    <xf numFmtId="0" fontId="0" fillId="0" borderId="83" xfId="0" applyBorder="1" applyAlignment="1" applyProtection="1">
      <alignment horizontal="left"/>
      <protection locked="0"/>
    </xf>
    <xf numFmtId="0" fontId="0" fillId="0" borderId="71" xfId="0" applyBorder="1" applyAlignment="1" applyProtection="1">
      <alignment horizontal="center"/>
      <protection locked="0"/>
    </xf>
    <xf numFmtId="0" fontId="0" fillId="0" borderId="72" xfId="0" applyBorder="1" applyAlignment="1" applyProtection="1">
      <alignment horizontal="center"/>
      <protection locked="0"/>
    </xf>
    <xf numFmtId="0" fontId="0" fillId="0" borderId="73" xfId="0" applyBorder="1" applyAlignment="1" applyProtection="1">
      <alignment horizontal="center"/>
      <protection locked="0"/>
    </xf>
    <xf numFmtId="0" fontId="0" fillId="0" borderId="74" xfId="0" applyBorder="1" applyAlignment="1" applyProtection="1">
      <alignment horizontal="center"/>
      <protection locked="0"/>
    </xf>
    <xf numFmtId="0" fontId="0" fillId="0" borderId="70" xfId="0" applyBorder="1" applyAlignment="1" applyProtection="1">
      <alignment horizontal="center"/>
      <protection locked="0"/>
    </xf>
    <xf numFmtId="0" fontId="0" fillId="0" borderId="75" xfId="0" applyBorder="1" applyAlignment="1" applyProtection="1">
      <alignment horizontal="center"/>
      <protection locked="0"/>
    </xf>
    <xf numFmtId="0" fontId="1" fillId="10" borderId="67" xfId="0" applyFont="1" applyFill="1" applyBorder="1" applyAlignment="1" applyProtection="1">
      <alignment horizontal="left"/>
      <protection locked="0"/>
    </xf>
    <xf numFmtId="0" fontId="1" fillId="10" borderId="41" xfId="0" applyFont="1" applyFill="1" applyBorder="1" applyAlignment="1" applyProtection="1">
      <alignment horizontal="left"/>
      <protection locked="0"/>
    </xf>
    <xf numFmtId="0" fontId="1" fillId="10" borderId="42" xfId="0" applyFont="1" applyFill="1" applyBorder="1" applyAlignment="1" applyProtection="1">
      <alignment horizontal="left"/>
      <protection locked="0"/>
    </xf>
    <xf numFmtId="0" fontId="0" fillId="0" borderId="26" xfId="0"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61" xfId="0" applyBorder="1" applyAlignment="1" applyProtection="1">
      <alignment horizontal="left"/>
      <protection locked="0"/>
    </xf>
    <xf numFmtId="0" fontId="0" fillId="0" borderId="45" xfId="0" applyBorder="1" applyAlignment="1" applyProtection="1">
      <alignment horizontal="left"/>
      <protection locked="0"/>
    </xf>
    <xf numFmtId="0" fontId="0" fillId="10" borderId="42" xfId="0" applyFill="1"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10" borderId="32" xfId="0" applyFill="1" applyBorder="1" applyAlignment="1" applyProtection="1">
      <alignment horizontal="center"/>
      <protection locked="0"/>
    </xf>
    <xf numFmtId="0" fontId="0" fillId="10" borderId="66" xfId="0" applyFill="1" applyBorder="1" applyAlignment="1" applyProtection="1">
      <alignment horizontal="center"/>
      <protection locked="0"/>
    </xf>
    <xf numFmtId="0" fontId="0" fillId="10" borderId="60" xfId="0" applyFill="1" applyBorder="1" applyAlignment="1" applyProtection="1">
      <alignment horizontal="center"/>
      <protection locked="0"/>
    </xf>
    <xf numFmtId="0" fontId="0" fillId="0" borderId="55"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30" xfId="0" applyBorder="1" applyAlignment="1" applyProtection="1">
      <alignment horizontal="center"/>
      <protection locked="0"/>
    </xf>
    <xf numFmtId="0" fontId="0" fillId="10" borderId="10" xfId="0" applyFill="1" applyBorder="1" applyAlignment="1" applyProtection="1">
      <alignment horizontal="center"/>
      <protection locked="0"/>
    </xf>
    <xf numFmtId="0" fontId="0" fillId="10" borderId="5" xfId="0" applyFill="1" applyBorder="1" applyAlignment="1" applyProtection="1">
      <alignment horizontal="center"/>
      <protection locked="0"/>
    </xf>
    <xf numFmtId="0" fontId="2" fillId="6" borderId="38" xfId="0" applyFont="1" applyFill="1" applyBorder="1" applyAlignment="1" applyProtection="1">
      <alignment horizontal="left"/>
      <protection locked="0"/>
    </xf>
    <xf numFmtId="0" fontId="2" fillId="6" borderId="39" xfId="0" applyFont="1" applyFill="1" applyBorder="1" applyAlignment="1" applyProtection="1">
      <alignment horizontal="left"/>
      <protection locked="0"/>
    </xf>
    <xf numFmtId="0" fontId="2" fillId="6" borderId="48" xfId="0" applyFont="1" applyFill="1" applyBorder="1" applyAlignment="1" applyProtection="1">
      <alignment horizontal="left"/>
      <protection locked="0"/>
    </xf>
    <xf numFmtId="0" fontId="1" fillId="4" borderId="66" xfId="0" applyFont="1" applyFill="1" applyBorder="1" applyAlignment="1" applyProtection="1">
      <alignment horizontal="center"/>
      <protection locked="0"/>
    </xf>
    <xf numFmtId="0" fontId="1" fillId="4" borderId="55" xfId="0" applyFont="1" applyFill="1" applyBorder="1" applyAlignment="1" applyProtection="1">
      <alignment horizontal="center"/>
      <protection locked="0"/>
    </xf>
    <xf numFmtId="0" fontId="1" fillId="4" borderId="60" xfId="0" applyFont="1" applyFill="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3" xfId="0" applyFont="1" applyBorder="1" applyAlignment="1" applyProtection="1">
      <alignment horizontal="center"/>
      <protection locked="0"/>
    </xf>
    <xf numFmtId="0" fontId="6" fillId="0" borderId="44" xfId="1" applyBorder="1" applyAlignment="1" applyProtection="1">
      <alignment horizontal="center"/>
      <protection locked="0"/>
    </xf>
    <xf numFmtId="0" fontId="6" fillId="0" borderId="3" xfId="1" applyBorder="1" applyAlignment="1" applyProtection="1">
      <alignment horizontal="center"/>
      <protection locked="0"/>
    </xf>
    <xf numFmtId="0" fontId="6" fillId="0" borderId="4" xfId="1" applyBorder="1" applyAlignment="1" applyProtection="1">
      <alignment horizontal="center"/>
      <protection locked="0"/>
    </xf>
    <xf numFmtId="0" fontId="0" fillId="10" borderId="54" xfId="0" applyFill="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1" fillId="10" borderId="10" xfId="0" applyFont="1" applyFill="1" applyBorder="1" applyAlignment="1" applyProtection="1">
      <alignment horizontal="center"/>
      <protection locked="0"/>
    </xf>
    <xf numFmtId="0" fontId="1" fillId="10" borderId="5" xfId="0" applyFont="1" applyFill="1" applyBorder="1" applyAlignment="1" applyProtection="1">
      <alignment horizontal="center"/>
      <protection locked="0"/>
    </xf>
    <xf numFmtId="0" fontId="1" fillId="4" borderId="84" xfId="0" applyFont="1" applyFill="1" applyBorder="1" applyAlignment="1" applyProtection="1">
      <alignment horizontal="center"/>
      <protection locked="0"/>
    </xf>
    <xf numFmtId="0" fontId="1" fillId="4" borderId="85" xfId="0" applyFont="1" applyFill="1" applyBorder="1" applyAlignment="1" applyProtection="1">
      <alignment horizontal="center"/>
      <protection locked="0"/>
    </xf>
    <xf numFmtId="0" fontId="1" fillId="4" borderId="86" xfId="0" applyFont="1" applyFill="1" applyBorder="1" applyAlignment="1" applyProtection="1">
      <alignment horizontal="center"/>
      <protection locked="0"/>
    </xf>
    <xf numFmtId="0" fontId="0" fillId="0" borderId="82" xfId="0" applyBorder="1" applyAlignment="1" applyProtection="1">
      <alignment horizontal="center"/>
      <protection locked="0"/>
    </xf>
    <xf numFmtId="0" fontId="0" fillId="0" borderId="83" xfId="0" applyBorder="1" applyAlignment="1" applyProtection="1">
      <alignment horizontal="center"/>
      <protection locked="0"/>
    </xf>
    <xf numFmtId="0" fontId="1" fillId="4" borderId="10" xfId="0" applyFont="1" applyFill="1" applyBorder="1" applyAlignment="1">
      <alignment horizontal="center"/>
    </xf>
    <xf numFmtId="0" fontId="1" fillId="4" borderId="5" xfId="0" applyFont="1" applyFill="1" applyBorder="1" applyAlignment="1">
      <alignment horizontal="center"/>
    </xf>
    <xf numFmtId="0" fontId="1" fillId="4" borderId="30" xfId="0" applyFont="1" applyFill="1" applyBorder="1" applyAlignment="1">
      <alignment horizontal="center"/>
    </xf>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59"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9" xfId="0" applyFont="1"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8" xfId="0" applyFill="1" applyBorder="1" applyAlignment="1">
      <alignment horizontal="center"/>
    </xf>
    <xf numFmtId="0" fontId="1" fillId="0" borderId="39" xfId="0" applyFont="1" applyFill="1" applyBorder="1" applyAlignment="1">
      <alignment horizontal="center"/>
    </xf>
    <xf numFmtId="0" fontId="1" fillId="4" borderId="40" xfId="0" applyFont="1" applyFill="1" applyBorder="1" applyAlignment="1">
      <alignment horizontal="center"/>
    </xf>
    <xf numFmtId="0" fontId="17" fillId="0" borderId="3" xfId="0" applyFont="1" applyBorder="1" applyAlignment="1">
      <alignment horizontal="left"/>
    </xf>
    <xf numFmtId="0" fontId="17" fillId="0" borderId="4" xfId="0" applyFont="1" applyBorder="1" applyAlignment="1">
      <alignment horizontal="left"/>
    </xf>
    <xf numFmtId="0" fontId="0" fillId="10" borderId="35" xfId="0" quotePrefix="1" applyFont="1" applyFill="1" applyBorder="1" applyAlignment="1">
      <alignment horizontal="left"/>
    </xf>
    <xf numFmtId="0" fontId="0" fillId="10" borderId="36" xfId="0" quotePrefix="1" applyFont="1" applyFill="1" applyBorder="1" applyAlignment="1">
      <alignment horizontal="left"/>
    </xf>
    <xf numFmtId="0" fontId="0" fillId="10" borderId="37" xfId="0" quotePrefix="1" applyFont="1" applyFill="1" applyBorder="1" applyAlignment="1">
      <alignment horizontal="left"/>
    </xf>
    <xf numFmtId="0" fontId="0" fillId="0" borderId="31" xfId="0" applyBorder="1" applyAlignment="1">
      <alignment horizontal="center"/>
    </xf>
    <xf numFmtId="0" fontId="0" fillId="0" borderId="18" xfId="0" applyBorder="1" applyAlignment="1">
      <alignment horizontal="center"/>
    </xf>
    <xf numFmtId="0" fontId="0" fillId="0" borderId="30" xfId="0"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18"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68"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17" fontId="1" fillId="3" borderId="7" xfId="0" applyNumberFormat="1" applyFont="1" applyFill="1" applyBorder="1" applyAlignment="1">
      <alignment horizontal="center"/>
    </xf>
    <xf numFmtId="0" fontId="1" fillId="3" borderId="8" xfId="0" applyFont="1" applyFill="1" applyBorder="1" applyAlignment="1">
      <alignment horizontal="center"/>
    </xf>
    <xf numFmtId="17" fontId="1" fillId="3" borderId="8" xfId="0" applyNumberFormat="1" applyFont="1" applyFill="1" applyBorder="1" applyAlignment="1">
      <alignment horizontal="center"/>
    </xf>
    <xf numFmtId="0" fontId="1" fillId="3" borderId="9" xfId="0" applyFont="1" applyFill="1" applyBorder="1" applyAlignment="1">
      <alignment horizontal="center"/>
    </xf>
    <xf numFmtId="0" fontId="1" fillId="4" borderId="38" xfId="0" applyFont="1" applyFill="1" applyBorder="1" applyAlignment="1">
      <alignment horizontal="center"/>
    </xf>
    <xf numFmtId="0" fontId="1" fillId="4" borderId="39" xfId="0" applyFont="1" applyFill="1" applyBorder="1" applyAlignment="1">
      <alignment horizontal="center"/>
    </xf>
    <xf numFmtId="0" fontId="1" fillId="4" borderId="48" xfId="0" applyFont="1" applyFill="1" applyBorder="1" applyAlignment="1">
      <alignment horizontal="center"/>
    </xf>
    <xf numFmtId="0" fontId="0" fillId="10" borderId="49" xfId="0" applyFont="1" applyFill="1" applyBorder="1" applyAlignment="1">
      <alignment horizontal="left"/>
    </xf>
    <xf numFmtId="0" fontId="0" fillId="10" borderId="0" xfId="0" applyFont="1" applyFill="1" applyBorder="1" applyAlignment="1">
      <alignment horizontal="left"/>
    </xf>
    <xf numFmtId="0" fontId="0" fillId="10" borderId="50" xfId="0" applyFont="1" applyFill="1" applyBorder="1" applyAlignment="1">
      <alignment horizontal="left"/>
    </xf>
    <xf numFmtId="0" fontId="0" fillId="10" borderId="49" xfId="0" quotePrefix="1" applyFont="1" applyFill="1" applyBorder="1" applyAlignment="1">
      <alignment horizontal="left"/>
    </xf>
    <xf numFmtId="0" fontId="0" fillId="10" borderId="38" xfId="0" applyFont="1" applyFill="1" applyBorder="1" applyAlignment="1">
      <alignment horizontal="left"/>
    </xf>
    <xf numFmtId="0" fontId="0" fillId="10" borderId="39" xfId="0" applyFont="1" applyFill="1" applyBorder="1" applyAlignment="1">
      <alignment horizontal="left"/>
    </xf>
    <xf numFmtId="0" fontId="0" fillId="10" borderId="48" xfId="0" applyFont="1" applyFill="1" applyBorder="1" applyAlignment="1">
      <alignment horizontal="left"/>
    </xf>
    <xf numFmtId="0" fontId="2" fillId="10" borderId="104" xfId="0" applyFont="1" applyFill="1" applyBorder="1" applyAlignment="1">
      <alignment horizontal="left"/>
    </xf>
    <xf numFmtId="0" fontId="2" fillId="10" borderId="28" xfId="0" applyFont="1" applyFill="1" applyBorder="1" applyAlignment="1">
      <alignment horizontal="left"/>
    </xf>
    <xf numFmtId="0" fontId="2" fillId="10" borderId="105" xfId="0" applyFont="1" applyFill="1" applyBorder="1" applyAlignment="1">
      <alignment horizontal="left"/>
    </xf>
    <xf numFmtId="0" fontId="1" fillId="4" borderId="19" xfId="0" applyFont="1" applyFill="1" applyBorder="1" applyAlignment="1">
      <alignment horizontal="center"/>
    </xf>
    <xf numFmtId="0" fontId="1" fillId="4" borderId="20" xfId="0" applyFont="1" applyFill="1" applyBorder="1" applyAlignment="1">
      <alignment horizontal="center"/>
    </xf>
    <xf numFmtId="0" fontId="1" fillId="4" borderId="21" xfId="0" applyFont="1" applyFill="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1" fillId="14" borderId="19" xfId="0" applyFont="1" applyFill="1" applyBorder="1" applyAlignment="1">
      <alignment horizontal="center"/>
    </xf>
    <xf numFmtId="0" fontId="1" fillId="14" borderId="20" xfId="0" applyFont="1" applyFill="1" applyBorder="1" applyAlignment="1">
      <alignment horizontal="center"/>
    </xf>
    <xf numFmtId="0" fontId="1" fillId="14" borderId="21" xfId="0" applyFont="1" applyFill="1" applyBorder="1" applyAlignment="1">
      <alignment horizontal="center"/>
    </xf>
    <xf numFmtId="0" fontId="0" fillId="0" borderId="70" xfId="0" applyBorder="1" applyAlignment="1">
      <alignment horizontal="left"/>
    </xf>
    <xf numFmtId="0" fontId="0" fillId="0" borderId="75" xfId="0" applyBorder="1" applyAlignment="1">
      <alignment horizontal="left"/>
    </xf>
    <xf numFmtId="0" fontId="0" fillId="0" borderId="9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118" xfId="0" applyBorder="1" applyAlignment="1">
      <alignment horizontal="center"/>
    </xf>
    <xf numFmtId="0" fontId="0" fillId="0" borderId="119" xfId="0" applyBorder="1" applyAlignment="1">
      <alignment horizontal="center"/>
    </xf>
    <xf numFmtId="0" fontId="1" fillId="10" borderId="44" xfId="0" applyFont="1" applyFill="1" applyBorder="1" applyAlignment="1">
      <alignment horizontal="center"/>
    </xf>
    <xf numFmtId="0" fontId="1" fillId="10" borderId="43" xfId="0" applyFont="1" applyFill="1" applyBorder="1" applyAlignment="1">
      <alignment horizontal="center"/>
    </xf>
    <xf numFmtId="0" fontId="1" fillId="10" borderId="3" xfId="0" applyFont="1" applyFill="1" applyBorder="1" applyAlignment="1">
      <alignment horizontal="center"/>
    </xf>
    <xf numFmtId="0" fontId="1" fillId="10" borderId="4" xfId="0" applyFont="1" applyFill="1" applyBorder="1" applyAlignment="1">
      <alignment horizontal="center"/>
    </xf>
    <xf numFmtId="0" fontId="0" fillId="0" borderId="112" xfId="0" applyBorder="1" applyAlignment="1">
      <alignment horizontal="left"/>
    </xf>
    <xf numFmtId="0" fontId="0" fillId="0" borderId="109" xfId="0" applyBorder="1" applyAlignment="1">
      <alignment horizontal="left"/>
    </xf>
    <xf numFmtId="0" fontId="1" fillId="10" borderId="19" xfId="0" applyFont="1" applyFill="1" applyBorder="1" applyAlignment="1">
      <alignment horizontal="center"/>
    </xf>
    <xf numFmtId="0" fontId="1" fillId="10" borderId="20" xfId="0" applyFont="1" applyFill="1" applyBorder="1" applyAlignment="1">
      <alignment horizontal="center"/>
    </xf>
    <xf numFmtId="0" fontId="1" fillId="10" borderId="21" xfId="0" applyFont="1" applyFill="1" applyBorder="1" applyAlignment="1">
      <alignment horizontal="center"/>
    </xf>
    <xf numFmtId="0" fontId="0" fillId="0" borderId="0" xfId="0" applyAlignment="1"/>
    <xf numFmtId="0" fontId="0" fillId="0" borderId="10" xfId="0" applyBorder="1" applyAlignment="1"/>
    <xf numFmtId="0" fontId="0" fillId="0" borderId="5" xfId="0" applyBorder="1" applyAlignment="1"/>
    <xf numFmtId="0" fontId="0" fillId="0" borderId="11" xfId="0" applyBorder="1" applyAlignment="1"/>
    <xf numFmtId="0" fontId="0" fillId="0" borderId="33" xfId="0" applyBorder="1" applyAlignment="1"/>
    <xf numFmtId="0" fontId="0" fillId="0" borderId="24" xfId="0" applyBorder="1" applyAlignment="1"/>
    <xf numFmtId="0" fontId="0" fillId="0" borderId="25" xfId="0" applyBorder="1" applyAlignment="1"/>
    <xf numFmtId="0" fontId="1" fillId="10" borderId="97" xfId="0" applyFont="1" applyFill="1" applyBorder="1" applyAlignment="1">
      <alignment horizontal="center"/>
    </xf>
    <xf numFmtId="0" fontId="1" fillId="10" borderId="98" xfId="0" applyFont="1" applyFill="1" applyBorder="1" applyAlignment="1">
      <alignment horizontal="center"/>
    </xf>
    <xf numFmtId="0" fontId="1" fillId="10" borderId="99" xfId="0" applyFont="1" applyFill="1" applyBorder="1" applyAlignment="1">
      <alignment horizontal="center"/>
    </xf>
    <xf numFmtId="0" fontId="0" fillId="0" borderId="87" xfId="0" applyBorder="1" applyAlignment="1">
      <alignment horizontal="center"/>
    </xf>
    <xf numFmtId="0" fontId="0" fillId="0" borderId="89" xfId="0" applyBorder="1" applyAlignment="1">
      <alignment horizontal="center"/>
    </xf>
    <xf numFmtId="0" fontId="0" fillId="0" borderId="88" xfId="0" applyBorder="1" applyAlignment="1">
      <alignment horizontal="center"/>
    </xf>
    <xf numFmtId="0" fontId="0" fillId="0" borderId="90"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0" fillId="0" borderId="15" xfId="0" applyBorder="1" applyAlignment="1">
      <alignment horizontal="left"/>
    </xf>
    <xf numFmtId="0" fontId="0" fillId="7" borderId="35" xfId="0" applyFill="1" applyBorder="1" applyAlignment="1">
      <alignment horizontal="center"/>
    </xf>
    <xf numFmtId="0" fontId="0" fillId="7" borderId="36" xfId="0" applyFill="1" applyBorder="1" applyAlignment="1">
      <alignment horizontal="center"/>
    </xf>
    <xf numFmtId="0" fontId="0" fillId="7" borderId="37" xfId="0" applyFill="1" applyBorder="1" applyAlignment="1">
      <alignment horizontal="center"/>
    </xf>
    <xf numFmtId="0" fontId="1" fillId="7" borderId="38" xfId="0" applyFont="1" applyFill="1" applyBorder="1" applyAlignment="1">
      <alignment horizontal="center"/>
    </xf>
    <xf numFmtId="0" fontId="1" fillId="7" borderId="39" xfId="0" applyFont="1" applyFill="1" applyBorder="1" applyAlignment="1">
      <alignment horizontal="center"/>
    </xf>
    <xf numFmtId="0" fontId="1" fillId="7" borderId="48" xfId="0" applyFont="1" applyFill="1" applyBorder="1" applyAlignment="1">
      <alignment horizontal="center"/>
    </xf>
    <xf numFmtId="0" fontId="1" fillId="10" borderId="100" xfId="0" applyFont="1" applyFill="1" applyBorder="1" applyAlignment="1">
      <alignment horizontal="left"/>
    </xf>
    <xf numFmtId="0" fontId="1" fillId="10" borderId="101" xfId="0" applyFont="1" applyFill="1" applyBorder="1" applyAlignment="1">
      <alignment horizontal="left"/>
    </xf>
    <xf numFmtId="0" fontId="1" fillId="10" borderId="102" xfId="0" applyFont="1" applyFill="1" applyBorder="1" applyAlignment="1">
      <alignment horizontal="left"/>
    </xf>
    <xf numFmtId="0" fontId="2" fillId="10" borderId="92" xfId="0" applyFont="1" applyFill="1" applyBorder="1" applyAlignment="1">
      <alignment horizontal="left"/>
    </xf>
    <xf numFmtId="0" fontId="2" fillId="10" borderId="31" xfId="0" applyFont="1" applyFill="1" applyBorder="1" applyAlignment="1">
      <alignment horizontal="left"/>
    </xf>
    <xf numFmtId="0" fontId="2" fillId="10" borderId="110" xfId="0" applyFont="1" applyFill="1" applyBorder="1" applyAlignment="1">
      <alignment horizontal="left"/>
    </xf>
    <xf numFmtId="0" fontId="0" fillId="7" borderId="49" xfId="0" applyFill="1" applyBorder="1" applyAlignment="1">
      <alignment horizontal="center"/>
    </xf>
    <xf numFmtId="0" fontId="0" fillId="7" borderId="0" xfId="0" applyFill="1" applyBorder="1" applyAlignment="1">
      <alignment horizontal="center"/>
    </xf>
    <xf numFmtId="0" fontId="0" fillId="7" borderId="50" xfId="0" applyFill="1" applyBorder="1" applyAlignment="1">
      <alignment horizontal="center"/>
    </xf>
    <xf numFmtId="0" fontId="0" fillId="0" borderId="30" xfId="0" applyBorder="1" applyAlignment="1">
      <alignment horizontal="left"/>
    </xf>
    <xf numFmtId="0" fontId="0" fillId="0" borderId="59"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27" xfId="0" applyBorder="1" applyAlignment="1">
      <alignment horizontal="left"/>
    </xf>
    <xf numFmtId="0" fontId="0" fillId="0" borderId="15" xfId="0" applyBorder="1" applyAlignment="1"/>
    <xf numFmtId="0" fontId="0" fillId="0" borderId="16" xfId="0" applyBorder="1" applyAlignment="1"/>
    <xf numFmtId="0" fontId="0" fillId="0" borderId="17" xfId="0" applyBorder="1" applyAlignment="1"/>
    <xf numFmtId="0" fontId="1" fillId="13" borderId="19" xfId="0" applyFont="1" applyFill="1" applyBorder="1" applyAlignment="1">
      <alignment horizontal="left"/>
    </xf>
    <xf numFmtId="0" fontId="1" fillId="13" borderId="20" xfId="0" applyFont="1" applyFill="1" applyBorder="1" applyAlignment="1">
      <alignment horizontal="left"/>
    </xf>
    <xf numFmtId="0" fontId="1" fillId="13" borderId="21" xfId="0" applyFont="1" applyFill="1" applyBorder="1" applyAlignment="1">
      <alignment horizontal="left"/>
    </xf>
    <xf numFmtId="0" fontId="6" fillId="0" borderId="26" xfId="1" applyBorder="1" applyAlignment="1">
      <alignment horizontal="left"/>
    </xf>
    <xf numFmtId="0" fontId="6" fillId="0" borderId="31" xfId="1" applyBorder="1" applyAlignment="1">
      <alignment horizontal="left"/>
    </xf>
    <xf numFmtId="0" fontId="6" fillId="0" borderId="32" xfId="1" applyBorder="1" applyAlignment="1">
      <alignment horizontal="left"/>
    </xf>
    <xf numFmtId="0" fontId="6" fillId="0" borderId="51" xfId="1" applyBorder="1" applyAlignment="1">
      <alignment horizontal="center"/>
    </xf>
    <xf numFmtId="0" fontId="6" fillId="0" borderId="52" xfId="1" applyBorder="1" applyAlignment="1">
      <alignment horizontal="center"/>
    </xf>
    <xf numFmtId="0" fontId="6" fillId="0" borderId="53" xfId="1" applyBorder="1" applyAlignment="1">
      <alignment horizontal="center"/>
    </xf>
    <xf numFmtId="0" fontId="6" fillId="0" borderId="10" xfId="1" applyBorder="1" applyAlignment="1">
      <alignment horizontal="left"/>
    </xf>
    <xf numFmtId="0" fontId="6" fillId="0" borderId="5" xfId="1" applyBorder="1" applyAlignment="1">
      <alignment horizontal="left"/>
    </xf>
    <xf numFmtId="0" fontId="6" fillId="0" borderId="11" xfId="1" applyBorder="1" applyAlignment="1">
      <alignment horizontal="left"/>
    </xf>
    <xf numFmtId="0" fontId="6" fillId="0" borderId="66" xfId="1" applyBorder="1" applyAlignment="1">
      <alignment horizontal="left"/>
    </xf>
    <xf numFmtId="0" fontId="6" fillId="0" borderId="55" xfId="1" applyBorder="1" applyAlignment="1">
      <alignment horizontal="left"/>
    </xf>
    <xf numFmtId="0" fontId="6" fillId="0" borderId="60" xfId="1" applyBorder="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10" borderId="26" xfId="0" applyFont="1" applyFill="1" applyBorder="1" applyAlignment="1">
      <alignment horizontal="center" vertical="center"/>
    </xf>
    <xf numFmtId="0" fontId="1" fillId="10" borderId="18" xfId="0" applyFont="1" applyFill="1" applyBorder="1" applyAlignment="1">
      <alignment horizontal="center" vertical="center"/>
    </xf>
    <xf numFmtId="0" fontId="1" fillId="10" borderId="61" xfId="0" applyFont="1" applyFill="1" applyBorder="1" applyAlignment="1">
      <alignment horizontal="center" vertical="center"/>
    </xf>
    <xf numFmtId="0" fontId="1" fillId="10" borderId="46"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3" xfId="0" applyFont="1" applyFill="1" applyBorder="1" applyAlignment="1">
      <alignment horizontal="center" vertical="center"/>
    </xf>
    <xf numFmtId="15" fontId="1" fillId="9" borderId="8" xfId="0" applyNumberFormat="1" applyFont="1" applyFill="1" applyBorder="1" applyAlignment="1">
      <alignment horizontal="center"/>
    </xf>
    <xf numFmtId="0" fontId="1" fillId="9" borderId="8" xfId="0" applyFont="1" applyFill="1" applyBorder="1" applyAlignment="1">
      <alignment horizontal="center"/>
    </xf>
    <xf numFmtId="0" fontId="1" fillId="9" borderId="30" xfId="0" applyFont="1" applyFill="1" applyBorder="1" applyAlignment="1">
      <alignment horizontal="center"/>
    </xf>
    <xf numFmtId="0" fontId="1" fillId="9" borderId="31" xfId="0" applyFont="1" applyFill="1" applyBorder="1" applyAlignment="1">
      <alignment horizontal="center"/>
    </xf>
    <xf numFmtId="0" fontId="1" fillId="9" borderId="32" xfId="0" applyFont="1" applyFill="1" applyBorder="1" applyAlignment="1">
      <alignment horizontal="center"/>
    </xf>
    <xf numFmtId="0" fontId="1" fillId="9" borderId="59" xfId="0" applyFont="1" applyFill="1" applyBorder="1" applyAlignment="1">
      <alignment horizontal="center"/>
    </xf>
    <xf numFmtId="0" fontId="1" fillId="9" borderId="55" xfId="0" applyFont="1" applyFill="1" applyBorder="1" applyAlignment="1">
      <alignment horizontal="center"/>
    </xf>
    <xf numFmtId="0" fontId="1" fillId="2" borderId="59" xfId="0" applyFont="1" applyFill="1" applyBorder="1" applyAlignment="1">
      <alignment horizontal="center"/>
    </xf>
    <xf numFmtId="0" fontId="1" fillId="2" borderId="55" xfId="0" applyFont="1" applyFill="1" applyBorder="1" applyAlignment="1">
      <alignment horizontal="center"/>
    </xf>
    <xf numFmtId="0" fontId="1" fillId="2" borderId="8" xfId="0" applyFont="1" applyFill="1" applyBorder="1" applyAlignment="1">
      <alignment horizontal="center"/>
    </xf>
    <xf numFmtId="0" fontId="1" fillId="9" borderId="9" xfId="0" applyFont="1" applyFill="1" applyBorder="1" applyAlignment="1">
      <alignment horizontal="center"/>
    </xf>
    <xf numFmtId="0" fontId="15" fillId="0" borderId="39" xfId="0" applyFont="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5" fillId="7" borderId="4"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3" borderId="38" xfId="0" applyFont="1" applyFill="1" applyBorder="1" applyAlignment="1">
      <alignment horizontal="center"/>
    </xf>
    <xf numFmtId="0" fontId="1" fillId="3" borderId="48" xfId="0" applyFont="1" applyFill="1" applyBorder="1" applyAlignment="1">
      <alignment horizontal="center"/>
    </xf>
    <xf numFmtId="0" fontId="1" fillId="3" borderId="35" xfId="0" applyFont="1" applyFill="1" applyBorder="1" applyAlignment="1">
      <alignment horizontal="center"/>
    </xf>
    <xf numFmtId="0" fontId="1" fillId="3" borderId="37"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66FF"/>
      <color rgb="FFFFCC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wimming.org.nz/page.php?friendly_id=resul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omegatiming.com/2019/18th-fina-world-championships-sw-live-results" TargetMode="External"/><Relationship Id="rId13" Type="http://schemas.openxmlformats.org/officeDocument/2006/relationships/hyperlink" Target="http://www.swmeets.com/Realtime/Jr%20PanPacs/2018/" TargetMode="External"/><Relationship Id="rId18" Type="http://schemas.openxmlformats.org/officeDocument/2006/relationships/hyperlink" Target="https://drugfreesport.org.nz/" TargetMode="External"/><Relationship Id="rId26" Type="http://schemas.openxmlformats.org/officeDocument/2006/relationships/hyperlink" Target="https://www.swimming.org.nz/article.php?group_id=42951" TargetMode="External"/><Relationship Id="rId3" Type="http://schemas.openxmlformats.org/officeDocument/2006/relationships/hyperlink" Target="https://www.swimming.org.nz/profiles.php?section=119" TargetMode="External"/><Relationship Id="rId21" Type="http://schemas.openxmlformats.org/officeDocument/2006/relationships/hyperlink" Target="https://swimming.org.nz/page.php?friendly_id=results" TargetMode="External"/><Relationship Id="rId7" Type="http://schemas.openxmlformats.org/officeDocument/2006/relationships/hyperlink" Target="https://www.omegatiming.com/2019/18th-fina-world-championships-ow-live-results" TargetMode="External"/><Relationship Id="rId12" Type="http://schemas.openxmlformats.org/officeDocument/2006/relationships/hyperlink" Target="https://www.omegatiming.com/2019/7th-fina-world-junior-swimming-championships-live-results" TargetMode="External"/><Relationship Id="rId17" Type="http://schemas.openxmlformats.org/officeDocument/2006/relationships/hyperlink" Target="https://hpsnz.org.nz/" TargetMode="External"/><Relationship Id="rId25" Type="http://schemas.openxmlformats.org/officeDocument/2006/relationships/hyperlink" Target="https://olympics.com/en/olympic-games/tokyo-2020/results/swimming" TargetMode="External"/><Relationship Id="rId2" Type="http://schemas.openxmlformats.org/officeDocument/2006/relationships/hyperlink" Target="https://www.swimming.org.nz/profiles.php?section=121" TargetMode="External"/><Relationship Id="rId16" Type="http://schemas.openxmlformats.org/officeDocument/2006/relationships/hyperlink" Target="https://www.swimming.org.nz/current-records.html" TargetMode="External"/><Relationship Id="rId20" Type="http://schemas.openxmlformats.org/officeDocument/2006/relationships/hyperlink" Target="https://www.fina.org/swimming/records?recordCode=WR&amp;eventTypeId=&amp;region=&amp;countryId=&amp;gender=M&amp;pool=LCM" TargetMode="External"/><Relationship Id="rId1" Type="http://schemas.openxmlformats.org/officeDocument/2006/relationships/hyperlink" Target="https://www.swimming.org.nz/visageimages/High%20Performance/Selection%20Criteria/TOKYO%202020%20Revised/Tokyo%20Nomination%20Criteria%20INDIVIDUAL%20%20RELAY%20Swimming%20-%20Revised%202021%20Amended.pdf" TargetMode="External"/><Relationship Id="rId6" Type="http://schemas.openxmlformats.org/officeDocument/2006/relationships/hyperlink" Target="https://www.olympic.org/rio-2016/swimming" TargetMode="External"/><Relationship Id="rId11" Type="http://schemas.openxmlformats.org/officeDocument/2006/relationships/hyperlink" Target="https://websites.sportstg.com/get_file.cgi?id=36491859" TargetMode="External"/><Relationship Id="rId24" Type="http://schemas.openxmlformats.org/officeDocument/2006/relationships/hyperlink" Target="https://www.paralympic.org/london-2019" TargetMode="External"/><Relationship Id="rId5" Type="http://schemas.openxmlformats.org/officeDocument/2006/relationships/hyperlink" Target="https://www.swimming.org.nz/para-swimming.html" TargetMode="External"/><Relationship Id="rId15" Type="http://schemas.openxmlformats.org/officeDocument/2006/relationships/hyperlink" Target="https://en.wikipedia.org/wiki/List_of_Commonwealth_records_in_swimming" TargetMode="External"/><Relationship Id="rId23" Type="http://schemas.openxmlformats.org/officeDocument/2006/relationships/hyperlink" Target="https://www.paralympic.org/world-rankings/swimming_OLD_PAGES" TargetMode="External"/><Relationship Id="rId10" Type="http://schemas.openxmlformats.org/officeDocument/2006/relationships/hyperlink" Target="https://www.omegatiming.com/2018/14th-fina-world-swimming-championships-25m-live-results" TargetMode="External"/><Relationship Id="rId19" Type="http://schemas.openxmlformats.org/officeDocument/2006/relationships/hyperlink" Target="https://www.fina.org/swimming/rankings?gender=M&amp;distance=50&amp;stroke=FREESTYLE&amp;poolConfiguration=LCM&amp;year=all&amp;startDate=&amp;endDate=&amp;timesMode=ALL_TIMES&amp;regionId=all&amp;countryId=" TargetMode="External"/><Relationship Id="rId4" Type="http://schemas.openxmlformats.org/officeDocument/2006/relationships/hyperlink" Target="https://nzswimmingalumni.org.nz/" TargetMode="External"/><Relationship Id="rId9" Type="http://schemas.openxmlformats.org/officeDocument/2006/relationships/hyperlink" Target="https://gc2018.com/sites/default/files/2018-04/GC2018_SWM_ResultsBook.pdf" TargetMode="External"/><Relationship Id="rId14" Type="http://schemas.openxmlformats.org/officeDocument/2006/relationships/hyperlink" Target="https://www.google.com/search?q=swimswam&amp;rlz=1C1GCEU_enNZ895NZ895&amp;oq=swimswam&amp;aqs=chrome..69i57j0j0i20i263j0l7.3119j0j15&amp;sourceid=chrome&amp;ie=UTF-8" TargetMode="External"/><Relationship Id="rId22" Type="http://schemas.openxmlformats.org/officeDocument/2006/relationships/hyperlink" Target="https://www.paralympic.org/world-records/swimming_OLD_PAGES" TargetMode="External"/><Relationship Id="rId27"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6AA03-C0BF-4FA3-AFE0-D649B221EA5D}">
  <sheetPr>
    <tabColor rgb="FFFF66FF"/>
  </sheetPr>
  <dimension ref="A1:J45"/>
  <sheetViews>
    <sheetView tabSelected="1" zoomScale="90" zoomScaleNormal="90" workbookViewId="0">
      <selection sqref="A1:J1"/>
    </sheetView>
  </sheetViews>
  <sheetFormatPr defaultRowHeight="15" x14ac:dyDescent="0.25"/>
  <cols>
    <col min="1" max="1" width="29.85546875" bestFit="1" customWidth="1"/>
    <col min="10" max="10" width="13" customWidth="1"/>
  </cols>
  <sheetData>
    <row r="1" spans="1:10" ht="21.75" thickBot="1" x14ac:dyDescent="0.4">
      <c r="A1" s="324" t="s">
        <v>129</v>
      </c>
      <c r="B1" s="325"/>
      <c r="C1" s="325"/>
      <c r="D1" s="325"/>
      <c r="E1" s="325"/>
      <c r="F1" s="325"/>
      <c r="G1" s="325"/>
      <c r="H1" s="325"/>
      <c r="I1" s="325"/>
      <c r="J1" s="326"/>
    </row>
    <row r="2" spans="1:10" ht="15.75" thickBot="1" x14ac:dyDescent="0.3">
      <c r="A2" s="307"/>
      <c r="B2" s="307"/>
      <c r="C2" s="307"/>
      <c r="D2" s="307"/>
      <c r="E2" s="307"/>
      <c r="F2" s="307"/>
      <c r="G2" s="307"/>
      <c r="H2" s="307"/>
      <c r="I2" s="307"/>
      <c r="J2" s="307"/>
    </row>
    <row r="3" spans="1:10" ht="19.5" thickBot="1" x14ac:dyDescent="0.35">
      <c r="A3" s="327" t="s">
        <v>130</v>
      </c>
      <c r="B3" s="328"/>
      <c r="C3" s="328"/>
      <c r="D3" s="328"/>
      <c r="E3" s="328"/>
      <c r="F3" s="328"/>
      <c r="G3" s="328"/>
      <c r="H3" s="328"/>
      <c r="I3" s="328"/>
      <c r="J3" s="329"/>
    </row>
    <row r="4" spans="1:10" ht="15.75" thickBot="1" x14ac:dyDescent="0.3">
      <c r="A4" s="342"/>
      <c r="B4" s="342"/>
      <c r="C4" s="342"/>
      <c r="D4" s="342"/>
      <c r="E4" s="342"/>
      <c r="F4" s="342"/>
      <c r="G4" s="342"/>
      <c r="H4" s="342"/>
      <c r="I4" s="342"/>
      <c r="J4" s="342"/>
    </row>
    <row r="5" spans="1:10" ht="19.5" thickBot="1" x14ac:dyDescent="0.35">
      <c r="A5" s="327" t="s">
        <v>131</v>
      </c>
      <c r="B5" s="330"/>
      <c r="C5" s="330"/>
      <c r="D5" s="330"/>
      <c r="E5" s="330"/>
      <c r="F5" s="330"/>
      <c r="G5" s="330"/>
      <c r="H5" s="330"/>
      <c r="I5" s="330"/>
      <c r="J5" s="331"/>
    </row>
    <row r="6" spans="1:10" ht="19.5" thickBot="1" x14ac:dyDescent="0.35">
      <c r="A6" s="343"/>
      <c r="B6" s="343"/>
      <c r="C6" s="343"/>
      <c r="D6" s="343"/>
      <c r="E6" s="343"/>
      <c r="F6" s="343"/>
      <c r="G6" s="343"/>
      <c r="H6" s="343"/>
      <c r="I6" s="343"/>
      <c r="J6" s="343"/>
    </row>
    <row r="7" spans="1:10" ht="18.75" x14ac:dyDescent="0.3">
      <c r="A7" s="311" t="s">
        <v>389</v>
      </c>
      <c r="B7" s="312"/>
      <c r="C7" s="312"/>
      <c r="D7" s="312"/>
      <c r="E7" s="312"/>
      <c r="F7" s="312"/>
      <c r="G7" s="312"/>
      <c r="H7" s="312"/>
      <c r="I7" s="312"/>
      <c r="J7" s="313"/>
    </row>
    <row r="8" spans="1:10" ht="19.5" thickBot="1" x14ac:dyDescent="0.35">
      <c r="A8" s="314" t="s">
        <v>390</v>
      </c>
      <c r="B8" s="315"/>
      <c r="C8" s="315"/>
      <c r="D8" s="315"/>
      <c r="E8" s="315"/>
      <c r="F8" s="315"/>
      <c r="G8" s="315"/>
      <c r="H8" s="315"/>
      <c r="I8" s="315"/>
      <c r="J8" s="316"/>
    </row>
    <row r="9" spans="1:10" ht="15.75" thickBot="1" x14ac:dyDescent="0.3">
      <c r="A9" s="307"/>
      <c r="B9" s="307"/>
      <c r="C9" s="307"/>
      <c r="D9" s="307"/>
      <c r="E9" s="307"/>
      <c r="F9" s="307"/>
      <c r="G9" s="307"/>
      <c r="H9" s="307"/>
      <c r="I9" s="307"/>
      <c r="J9" s="307"/>
    </row>
    <row r="10" spans="1:10" ht="15.75" thickBot="1" x14ac:dyDescent="0.3">
      <c r="A10" s="2" t="s">
        <v>132</v>
      </c>
      <c r="B10" s="319"/>
      <c r="C10" s="319"/>
      <c r="D10" s="319"/>
      <c r="E10" s="319"/>
      <c r="F10" s="319"/>
      <c r="G10" s="319"/>
      <c r="H10" s="319"/>
      <c r="I10" s="319"/>
      <c r="J10" s="319"/>
    </row>
    <row r="11" spans="1:10" x14ac:dyDescent="0.25">
      <c r="A11" s="333" t="s">
        <v>133</v>
      </c>
      <c r="B11" s="334"/>
      <c r="C11" s="334"/>
      <c r="D11" s="334"/>
      <c r="E11" s="334"/>
      <c r="F11" s="334"/>
      <c r="G11" s="334"/>
      <c r="H11" s="334"/>
      <c r="I11" s="334"/>
      <c r="J11" s="335"/>
    </row>
    <row r="12" spans="1:10" x14ac:dyDescent="0.25">
      <c r="A12" s="336" t="s">
        <v>134</v>
      </c>
      <c r="B12" s="337"/>
      <c r="C12" s="337"/>
      <c r="D12" s="337"/>
      <c r="E12" s="337"/>
      <c r="F12" s="337"/>
      <c r="G12" s="337"/>
      <c r="H12" s="337"/>
      <c r="I12" s="337"/>
      <c r="J12" s="338"/>
    </row>
    <row r="13" spans="1:10" ht="15.75" thickBot="1" x14ac:dyDescent="0.3">
      <c r="A13" s="339" t="s">
        <v>135</v>
      </c>
      <c r="B13" s="340"/>
      <c r="C13" s="340"/>
      <c r="D13" s="340"/>
      <c r="E13" s="340"/>
      <c r="F13" s="340"/>
      <c r="G13" s="340"/>
      <c r="H13" s="340"/>
      <c r="I13" s="340"/>
      <c r="J13" s="341"/>
    </row>
    <row r="14" spans="1:10" ht="15.75" thickBot="1" x14ac:dyDescent="0.3">
      <c r="A14" s="319"/>
      <c r="B14" s="319"/>
      <c r="C14" s="319"/>
      <c r="D14" s="319"/>
      <c r="E14" s="319"/>
      <c r="F14" s="319"/>
      <c r="G14" s="319"/>
      <c r="H14" s="319"/>
      <c r="I14" s="319"/>
      <c r="J14" s="319"/>
    </row>
    <row r="15" spans="1:10" ht="15.75" thickBot="1" x14ac:dyDescent="0.3">
      <c r="A15" s="1" t="s">
        <v>138</v>
      </c>
      <c r="B15" s="321"/>
      <c r="C15" s="321"/>
      <c r="D15" s="321"/>
      <c r="E15" s="321"/>
      <c r="F15" s="321"/>
      <c r="G15" s="321"/>
      <c r="H15" s="321"/>
      <c r="I15" s="321"/>
      <c r="J15" s="321"/>
    </row>
    <row r="16" spans="1:10" x14ac:dyDescent="0.25">
      <c r="A16" s="347" t="s">
        <v>0</v>
      </c>
      <c r="B16" s="348"/>
      <c r="C16" s="348"/>
      <c r="D16" s="348"/>
      <c r="E16" s="348"/>
      <c r="F16" s="348"/>
      <c r="G16" s="348"/>
      <c r="H16" s="348"/>
      <c r="I16" s="348"/>
      <c r="J16" s="349"/>
    </row>
    <row r="17" spans="1:10" x14ac:dyDescent="0.25">
      <c r="A17" s="320" t="s">
        <v>1</v>
      </c>
      <c r="B17" s="309"/>
      <c r="C17" s="309"/>
      <c r="D17" s="309"/>
      <c r="E17" s="309"/>
      <c r="F17" s="309"/>
      <c r="G17" s="309"/>
      <c r="H17" s="309"/>
      <c r="I17" s="309"/>
      <c r="J17" s="310"/>
    </row>
    <row r="18" spans="1:10" x14ac:dyDescent="0.25">
      <c r="A18" s="320" t="s">
        <v>136</v>
      </c>
      <c r="B18" s="309"/>
      <c r="C18" s="309"/>
      <c r="D18" s="309"/>
      <c r="E18" s="309"/>
      <c r="F18" s="309"/>
      <c r="G18" s="309"/>
      <c r="H18" s="309"/>
      <c r="I18" s="309"/>
      <c r="J18" s="310"/>
    </row>
    <row r="19" spans="1:10" x14ac:dyDescent="0.25">
      <c r="A19" s="320" t="s">
        <v>137</v>
      </c>
      <c r="B19" s="309"/>
      <c r="C19" s="309"/>
      <c r="D19" s="309"/>
      <c r="E19" s="309"/>
      <c r="F19" s="309"/>
      <c r="G19" s="309"/>
      <c r="H19" s="309"/>
      <c r="I19" s="309"/>
      <c r="J19" s="310"/>
    </row>
    <row r="20" spans="1:10" ht="15.75" thickBot="1" x14ac:dyDescent="0.3">
      <c r="A20" s="354" t="s">
        <v>2</v>
      </c>
      <c r="B20" s="345"/>
      <c r="C20" s="345"/>
      <c r="D20" s="345"/>
      <c r="E20" s="345"/>
      <c r="F20" s="345"/>
      <c r="G20" s="345"/>
      <c r="H20" s="345"/>
      <c r="I20" s="345"/>
      <c r="J20" s="346"/>
    </row>
    <row r="21" spans="1:10" ht="15.75" thickBot="1" x14ac:dyDescent="0.3">
      <c r="A21" s="321"/>
      <c r="B21" s="321"/>
      <c r="C21" s="321"/>
      <c r="D21" s="321"/>
      <c r="E21" s="321"/>
      <c r="F21" s="321"/>
      <c r="G21" s="321"/>
      <c r="H21" s="321"/>
      <c r="I21" s="321"/>
      <c r="J21" s="321"/>
    </row>
    <row r="22" spans="1:10" ht="15.75" thickBot="1" x14ac:dyDescent="0.3">
      <c r="A22" s="1" t="s">
        <v>3</v>
      </c>
      <c r="B22" s="321"/>
      <c r="C22" s="321"/>
      <c r="D22" s="321"/>
      <c r="E22" s="321"/>
      <c r="F22" s="321"/>
      <c r="G22" s="321"/>
      <c r="H22" s="321"/>
      <c r="I22" s="321"/>
      <c r="J22" s="321"/>
    </row>
    <row r="23" spans="1:10" x14ac:dyDescent="0.25">
      <c r="A23" s="355" t="s">
        <v>141</v>
      </c>
      <c r="B23" s="356"/>
      <c r="C23" s="356"/>
      <c r="D23" s="356"/>
      <c r="E23" s="356"/>
      <c r="F23" s="356"/>
      <c r="G23" s="356"/>
      <c r="H23" s="356"/>
      <c r="I23" s="356"/>
      <c r="J23" s="357"/>
    </row>
    <row r="24" spans="1:10" x14ac:dyDescent="0.25">
      <c r="A24" s="320" t="s">
        <v>139</v>
      </c>
      <c r="B24" s="309"/>
      <c r="C24" s="309"/>
      <c r="D24" s="309"/>
      <c r="E24" s="309"/>
      <c r="F24" s="309"/>
      <c r="G24" s="309"/>
      <c r="H24" s="309"/>
      <c r="I24" s="309"/>
      <c r="J24" s="310"/>
    </row>
    <row r="25" spans="1:10" x14ac:dyDescent="0.25">
      <c r="A25" s="320" t="s">
        <v>421</v>
      </c>
      <c r="B25" s="309"/>
      <c r="C25" s="309"/>
      <c r="D25" s="309"/>
      <c r="E25" s="309"/>
      <c r="F25" s="309"/>
      <c r="G25" s="309"/>
      <c r="H25" s="309"/>
      <c r="I25" s="309"/>
      <c r="J25" s="310"/>
    </row>
    <row r="26" spans="1:10" x14ac:dyDescent="0.25">
      <c r="A26" s="332" t="s">
        <v>422</v>
      </c>
      <c r="B26" s="317"/>
      <c r="C26" s="317"/>
      <c r="D26" s="317"/>
      <c r="E26" s="317"/>
      <c r="F26" s="317"/>
      <c r="G26" s="317"/>
      <c r="H26" s="317"/>
      <c r="I26" s="317"/>
      <c r="J26" s="318"/>
    </row>
    <row r="27" spans="1:10" x14ac:dyDescent="0.25">
      <c r="A27" s="332" t="s">
        <v>142</v>
      </c>
      <c r="B27" s="317"/>
      <c r="C27" s="317"/>
      <c r="D27" s="317"/>
      <c r="E27" s="317"/>
      <c r="F27" s="317"/>
      <c r="G27" s="317"/>
      <c r="H27" s="317"/>
      <c r="I27" s="317"/>
      <c r="J27" s="318"/>
    </row>
    <row r="28" spans="1:10" x14ac:dyDescent="0.25">
      <c r="A28" s="320" t="s">
        <v>140</v>
      </c>
      <c r="B28" s="309"/>
      <c r="C28" s="309"/>
      <c r="D28" s="309"/>
      <c r="E28" s="309"/>
      <c r="F28" s="309"/>
      <c r="G28" s="309"/>
      <c r="H28" s="309"/>
      <c r="I28" s="309"/>
      <c r="J28" s="310"/>
    </row>
    <row r="29" spans="1:10" x14ac:dyDescent="0.25">
      <c r="A29" s="320" t="s">
        <v>143</v>
      </c>
      <c r="B29" s="309"/>
      <c r="C29" s="309"/>
      <c r="D29" s="309"/>
      <c r="E29" s="309"/>
      <c r="F29" s="309"/>
      <c r="G29" s="309"/>
      <c r="H29" s="309"/>
      <c r="I29" s="309"/>
      <c r="J29" s="310"/>
    </row>
    <row r="30" spans="1:10" ht="15.75" thickBot="1" x14ac:dyDescent="0.3">
      <c r="A30" s="350" t="s">
        <v>144</v>
      </c>
      <c r="B30" s="351"/>
      <c r="C30" s="351"/>
      <c r="D30" s="351"/>
      <c r="E30" s="351"/>
      <c r="F30" s="351"/>
      <c r="G30" s="351"/>
      <c r="H30" s="351"/>
      <c r="I30" s="351"/>
      <c r="J30" s="352"/>
    </row>
    <row r="31" spans="1:10" ht="15.75" thickBot="1" x14ac:dyDescent="0.3">
      <c r="A31" s="353"/>
      <c r="B31" s="353"/>
      <c r="C31" s="353"/>
      <c r="D31" s="353"/>
      <c r="E31" s="353"/>
      <c r="F31" s="353"/>
      <c r="G31" s="353"/>
      <c r="H31" s="353"/>
      <c r="I31" s="353"/>
      <c r="J31" s="353"/>
    </row>
    <row r="32" spans="1:10" ht="15.75" thickBot="1" x14ac:dyDescent="0.3">
      <c r="A32" s="2" t="s">
        <v>4</v>
      </c>
      <c r="B32" s="321"/>
      <c r="C32" s="321"/>
      <c r="D32" s="321"/>
      <c r="E32" s="321"/>
      <c r="F32" s="321"/>
      <c r="G32" s="321"/>
      <c r="H32" s="321"/>
      <c r="I32" s="321"/>
      <c r="J32" s="321"/>
    </row>
    <row r="33" spans="1:10" x14ac:dyDescent="0.25">
      <c r="A33" s="84">
        <v>44712</v>
      </c>
      <c r="B33" s="322" t="s">
        <v>145</v>
      </c>
      <c r="C33" s="322"/>
      <c r="D33" s="322"/>
      <c r="E33" s="322"/>
      <c r="F33" s="322"/>
      <c r="G33" s="322"/>
      <c r="H33" s="322"/>
      <c r="I33" s="322"/>
      <c r="J33" s="323"/>
    </row>
    <row r="34" spans="1:10" x14ac:dyDescent="0.25">
      <c r="A34" s="85">
        <v>44722</v>
      </c>
      <c r="B34" s="308" t="s">
        <v>148</v>
      </c>
      <c r="C34" s="309"/>
      <c r="D34" s="309"/>
      <c r="E34" s="309"/>
      <c r="F34" s="309"/>
      <c r="G34" s="309"/>
      <c r="H34" s="309"/>
      <c r="I34" s="309"/>
      <c r="J34" s="310"/>
    </row>
    <row r="35" spans="1:10" x14ac:dyDescent="0.25">
      <c r="A35" s="86">
        <v>44727</v>
      </c>
      <c r="B35" s="308" t="s">
        <v>147</v>
      </c>
      <c r="C35" s="309"/>
      <c r="D35" s="309"/>
      <c r="E35" s="309"/>
      <c r="F35" s="309"/>
      <c r="G35" s="309"/>
      <c r="H35" s="309"/>
      <c r="I35" s="309"/>
      <c r="J35" s="310"/>
    </row>
    <row r="36" spans="1:10" x14ac:dyDescent="0.25">
      <c r="A36" s="86">
        <v>44728</v>
      </c>
      <c r="B36" s="308" t="s">
        <v>146</v>
      </c>
      <c r="C36" s="309"/>
      <c r="D36" s="309"/>
      <c r="E36" s="309"/>
      <c r="F36" s="309"/>
      <c r="G36" s="309"/>
      <c r="H36" s="309"/>
      <c r="I36" s="309"/>
      <c r="J36" s="310"/>
    </row>
    <row r="37" spans="1:10" x14ac:dyDescent="0.25">
      <c r="A37" s="87">
        <v>44732</v>
      </c>
      <c r="B37" s="317" t="s">
        <v>154</v>
      </c>
      <c r="C37" s="317"/>
      <c r="D37" s="317"/>
      <c r="E37" s="317"/>
      <c r="F37" s="317"/>
      <c r="G37" s="317"/>
      <c r="H37" s="317"/>
      <c r="I37" s="317"/>
      <c r="J37" s="318"/>
    </row>
    <row r="38" spans="1:10" x14ac:dyDescent="0.25">
      <c r="A38" s="85">
        <v>44806</v>
      </c>
      <c r="B38" s="308" t="s">
        <v>149</v>
      </c>
      <c r="C38" s="309"/>
      <c r="D38" s="309"/>
      <c r="E38" s="309"/>
      <c r="F38" s="309"/>
      <c r="G38" s="309"/>
      <c r="H38" s="309"/>
      <c r="I38" s="309"/>
      <c r="J38" s="310"/>
    </row>
    <row r="39" spans="1:10" x14ac:dyDescent="0.25">
      <c r="A39" s="88">
        <v>44808</v>
      </c>
      <c r="B39" s="308" t="s">
        <v>150</v>
      </c>
      <c r="C39" s="309"/>
      <c r="D39" s="309"/>
      <c r="E39" s="309"/>
      <c r="F39" s="309"/>
      <c r="G39" s="309"/>
      <c r="H39" s="309"/>
      <c r="I39" s="309"/>
      <c r="J39" s="310"/>
    </row>
    <row r="40" spans="1:10" x14ac:dyDescent="0.25">
      <c r="A40" s="86">
        <v>44818</v>
      </c>
      <c r="B40" s="308" t="s">
        <v>152</v>
      </c>
      <c r="C40" s="309"/>
      <c r="D40" s="309"/>
      <c r="E40" s="309"/>
      <c r="F40" s="309"/>
      <c r="G40" s="309"/>
      <c r="H40" s="309"/>
      <c r="I40" s="309"/>
      <c r="J40" s="310"/>
    </row>
    <row r="41" spans="1:10" x14ac:dyDescent="0.25">
      <c r="A41" s="85">
        <v>44819</v>
      </c>
      <c r="B41" s="317" t="s">
        <v>145</v>
      </c>
      <c r="C41" s="317"/>
      <c r="D41" s="317"/>
      <c r="E41" s="317"/>
      <c r="F41" s="317"/>
      <c r="G41" s="317"/>
      <c r="H41" s="317"/>
      <c r="I41" s="317"/>
      <c r="J41" s="318"/>
    </row>
    <row r="42" spans="1:10" x14ac:dyDescent="0.25">
      <c r="A42" s="85">
        <v>44915</v>
      </c>
      <c r="B42" s="308" t="s">
        <v>151</v>
      </c>
      <c r="C42" s="309"/>
      <c r="D42" s="309"/>
      <c r="E42" s="309"/>
      <c r="F42" s="309"/>
      <c r="G42" s="309"/>
      <c r="H42" s="309"/>
      <c r="I42" s="309"/>
      <c r="J42" s="310"/>
    </row>
    <row r="43" spans="1:10" x14ac:dyDescent="0.25">
      <c r="A43" s="88">
        <v>44936</v>
      </c>
      <c r="B43" s="308" t="s">
        <v>150</v>
      </c>
      <c r="C43" s="309"/>
      <c r="D43" s="309"/>
      <c r="E43" s="309"/>
      <c r="F43" s="309"/>
      <c r="G43" s="309"/>
      <c r="H43" s="309"/>
      <c r="I43" s="309"/>
      <c r="J43" s="310"/>
    </row>
    <row r="44" spans="1:10" x14ac:dyDescent="0.25">
      <c r="A44" s="86">
        <v>44937</v>
      </c>
      <c r="B44" s="308" t="s">
        <v>153</v>
      </c>
      <c r="C44" s="309"/>
      <c r="D44" s="309"/>
      <c r="E44" s="309"/>
      <c r="F44" s="309"/>
      <c r="G44" s="309"/>
      <c r="H44" s="309"/>
      <c r="I44" s="309"/>
      <c r="J44" s="310"/>
    </row>
    <row r="45" spans="1:10" ht="15.75" thickBot="1" x14ac:dyDescent="0.3">
      <c r="A45" s="89">
        <v>45046</v>
      </c>
      <c r="B45" s="344" t="s">
        <v>150</v>
      </c>
      <c r="C45" s="345"/>
      <c r="D45" s="345"/>
      <c r="E45" s="345"/>
      <c r="F45" s="345"/>
      <c r="G45" s="345"/>
      <c r="H45" s="345"/>
      <c r="I45" s="345"/>
      <c r="J45" s="346"/>
    </row>
  </sheetData>
  <mergeCells count="45">
    <mergeCell ref="B45:J45"/>
    <mergeCell ref="A16:J16"/>
    <mergeCell ref="B22:J22"/>
    <mergeCell ref="A30:J30"/>
    <mergeCell ref="A31:J31"/>
    <mergeCell ref="B32:J32"/>
    <mergeCell ref="A25:J25"/>
    <mergeCell ref="A28:J28"/>
    <mergeCell ref="A29:J29"/>
    <mergeCell ref="A20:J20"/>
    <mergeCell ref="A23:J23"/>
    <mergeCell ref="A24:J24"/>
    <mergeCell ref="A17:J17"/>
    <mergeCell ref="B42:J42"/>
    <mergeCell ref="B44:J44"/>
    <mergeCell ref="B43:J43"/>
    <mergeCell ref="A1:J1"/>
    <mergeCell ref="A2:J2"/>
    <mergeCell ref="B34:J34"/>
    <mergeCell ref="B35:J35"/>
    <mergeCell ref="B36:J36"/>
    <mergeCell ref="B15:J15"/>
    <mergeCell ref="A3:J3"/>
    <mergeCell ref="A5:J5"/>
    <mergeCell ref="A26:J26"/>
    <mergeCell ref="A27:J27"/>
    <mergeCell ref="B10:J10"/>
    <mergeCell ref="A11:J11"/>
    <mergeCell ref="A12:J12"/>
    <mergeCell ref="A13:J13"/>
    <mergeCell ref="A4:J4"/>
    <mergeCell ref="A6:J6"/>
    <mergeCell ref="B41:J41"/>
    <mergeCell ref="B37:J37"/>
    <mergeCell ref="B39:J39"/>
    <mergeCell ref="A14:J14"/>
    <mergeCell ref="A19:J19"/>
    <mergeCell ref="A21:J21"/>
    <mergeCell ref="B33:J33"/>
    <mergeCell ref="A18:J18"/>
    <mergeCell ref="A9:J9"/>
    <mergeCell ref="B38:J38"/>
    <mergeCell ref="B40:J40"/>
    <mergeCell ref="A7:J7"/>
    <mergeCell ref="A8:J8"/>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19AAE-45E0-4915-B23B-043553EDEAA9}">
  <sheetPr>
    <tabColor rgb="FF00B0F0"/>
  </sheetPr>
  <dimension ref="A1:P24"/>
  <sheetViews>
    <sheetView zoomScale="80" zoomScaleNormal="80" workbookViewId="0">
      <selection activeCell="N21" sqref="N21"/>
    </sheetView>
  </sheetViews>
  <sheetFormatPr defaultRowHeight="15" x14ac:dyDescent="0.25"/>
  <cols>
    <col min="1" max="1" width="13.28515625" bestFit="1" customWidth="1"/>
    <col min="2" max="2" width="14.7109375" customWidth="1"/>
    <col min="3" max="3" width="11.85546875" bestFit="1" customWidth="1"/>
    <col min="4" max="9" width="12.5703125" bestFit="1" customWidth="1"/>
    <col min="10" max="10" width="4.7109375" customWidth="1"/>
    <col min="12" max="12" width="21.7109375" customWidth="1"/>
    <col min="13" max="16" width="13.28515625" customWidth="1"/>
  </cols>
  <sheetData>
    <row r="1" spans="1:16" ht="15.75" thickBot="1" x14ac:dyDescent="0.3">
      <c r="A1" s="589" t="s">
        <v>113</v>
      </c>
      <c r="B1" s="590"/>
      <c r="C1" s="590"/>
      <c r="D1" s="590"/>
      <c r="E1" s="590"/>
      <c r="F1" s="590"/>
      <c r="G1" s="590"/>
      <c r="H1" s="590"/>
      <c r="I1" s="591"/>
    </row>
    <row r="2" spans="1:16" ht="15.75" thickBot="1" x14ac:dyDescent="0.3">
      <c r="A2" s="622"/>
      <c r="B2" s="623"/>
      <c r="C2" s="623"/>
      <c r="D2" s="623"/>
      <c r="E2" s="623"/>
      <c r="F2" s="623"/>
      <c r="G2" s="623"/>
      <c r="H2" s="623"/>
      <c r="I2" s="623"/>
    </row>
    <row r="3" spans="1:16" ht="15.75" thickBot="1" x14ac:dyDescent="0.3">
      <c r="A3" s="619" t="s">
        <v>114</v>
      </c>
      <c r="B3" s="620"/>
      <c r="C3" s="620"/>
      <c r="D3" s="620"/>
      <c r="E3" s="620"/>
      <c r="F3" s="620"/>
      <c r="G3" s="620"/>
      <c r="H3" s="620"/>
      <c r="I3" s="621"/>
    </row>
    <row r="4" spans="1:16" ht="15.75" thickBot="1" x14ac:dyDescent="0.3">
      <c r="A4" s="224"/>
      <c r="B4" s="226" t="s">
        <v>72</v>
      </c>
      <c r="C4" s="157" t="s">
        <v>361</v>
      </c>
      <c r="D4" s="223">
        <v>1</v>
      </c>
      <c r="E4" s="225">
        <v>2</v>
      </c>
      <c r="F4" s="225">
        <v>3</v>
      </c>
      <c r="G4" s="225">
        <v>4</v>
      </c>
      <c r="H4" s="225">
        <v>5</v>
      </c>
      <c r="I4" s="226">
        <v>6</v>
      </c>
    </row>
    <row r="5" spans="1:16" ht="15.75" thickBot="1" x14ac:dyDescent="0.3">
      <c r="A5" s="252" t="s">
        <v>106</v>
      </c>
      <c r="B5" s="258">
        <v>44724</v>
      </c>
      <c r="C5" s="254"/>
      <c r="D5" s="255"/>
      <c r="E5" s="256"/>
      <c r="F5" s="256"/>
      <c r="G5" s="256"/>
      <c r="H5" s="256"/>
      <c r="I5" s="257"/>
      <c r="K5" s="592" t="s">
        <v>326</v>
      </c>
      <c r="L5" s="593"/>
      <c r="M5" s="593"/>
      <c r="N5" s="593"/>
      <c r="O5" s="593"/>
      <c r="P5" s="594"/>
    </row>
    <row r="6" spans="1:16" ht="15.75" thickBot="1" x14ac:dyDescent="0.3">
      <c r="A6" s="22" t="s">
        <v>334</v>
      </c>
      <c r="B6" s="253" t="s">
        <v>380</v>
      </c>
      <c r="C6" s="159"/>
      <c r="D6" s="151"/>
      <c r="E6" s="3"/>
      <c r="F6" s="3"/>
      <c r="G6" s="3"/>
      <c r="H6" s="3"/>
      <c r="I6" s="5"/>
    </row>
    <row r="7" spans="1:16" x14ac:dyDescent="0.25">
      <c r="A7" s="22" t="s">
        <v>107</v>
      </c>
      <c r="B7" s="83" t="s">
        <v>27</v>
      </c>
      <c r="C7" s="159"/>
      <c r="D7" s="151"/>
      <c r="E7" s="3"/>
      <c r="F7" s="3"/>
      <c r="G7" s="3"/>
      <c r="H7" s="3"/>
      <c r="I7" s="5"/>
      <c r="K7" s="630" t="s">
        <v>308</v>
      </c>
      <c r="L7" s="631"/>
      <c r="M7" s="165" t="s">
        <v>305</v>
      </c>
      <c r="N7" s="166" t="s">
        <v>306</v>
      </c>
      <c r="O7" s="166" t="s">
        <v>307</v>
      </c>
      <c r="P7" s="167" t="s">
        <v>12</v>
      </c>
    </row>
    <row r="8" spans="1:16" ht="15.75" thickBot="1" x14ac:dyDescent="0.3">
      <c r="A8" s="22" t="s">
        <v>115</v>
      </c>
      <c r="B8" s="83" t="s">
        <v>116</v>
      </c>
      <c r="C8" s="159"/>
      <c r="D8" s="151"/>
      <c r="E8" s="3"/>
      <c r="F8" s="3"/>
      <c r="G8" s="3"/>
      <c r="H8" s="3"/>
      <c r="I8" s="5"/>
      <c r="K8" s="632" t="s">
        <v>309</v>
      </c>
      <c r="L8" s="633"/>
      <c r="M8" s="168">
        <v>1</v>
      </c>
      <c r="N8" s="169">
        <v>2</v>
      </c>
      <c r="O8" s="169">
        <v>3</v>
      </c>
      <c r="P8" s="170">
        <v>4</v>
      </c>
    </row>
    <row r="9" spans="1:16" ht="15.75" thickBot="1" x14ac:dyDescent="0.3">
      <c r="A9" s="10" t="s">
        <v>117</v>
      </c>
      <c r="B9" s="7" t="s">
        <v>112</v>
      </c>
      <c r="C9" s="160"/>
      <c r="D9" s="70"/>
      <c r="E9" s="61"/>
      <c r="F9" s="61"/>
      <c r="G9" s="61"/>
      <c r="H9" s="61"/>
      <c r="I9" s="62"/>
      <c r="K9" s="184" t="s">
        <v>73</v>
      </c>
      <c r="L9" s="181" t="s">
        <v>311</v>
      </c>
      <c r="M9" s="171" t="s">
        <v>313</v>
      </c>
      <c r="N9" s="172" t="s">
        <v>314</v>
      </c>
      <c r="O9" s="172" t="s">
        <v>315</v>
      </c>
      <c r="P9" s="173" t="s">
        <v>316</v>
      </c>
    </row>
    <row r="10" spans="1:16" ht="15.75" thickBot="1" x14ac:dyDescent="0.3">
      <c r="A10" s="11" t="s">
        <v>118</v>
      </c>
      <c r="B10" s="14">
        <v>78.2</v>
      </c>
      <c r="C10" s="161"/>
      <c r="D10" s="154"/>
      <c r="E10" s="63"/>
      <c r="F10" s="63"/>
      <c r="G10" s="63"/>
      <c r="H10" s="63"/>
      <c r="I10" s="64"/>
      <c r="K10" s="185"/>
      <c r="L10" s="182" t="s">
        <v>312</v>
      </c>
      <c r="M10" s="174" t="s">
        <v>317</v>
      </c>
      <c r="N10" s="24" t="s">
        <v>318</v>
      </c>
      <c r="O10" s="24" t="s">
        <v>319</v>
      </c>
      <c r="P10" s="175" t="s">
        <v>320</v>
      </c>
    </row>
    <row r="11" spans="1:16" x14ac:dyDescent="0.25">
      <c r="A11" s="22" t="s">
        <v>119</v>
      </c>
      <c r="B11" s="15">
        <v>78.7</v>
      </c>
      <c r="C11" s="162"/>
      <c r="D11" s="155"/>
      <c r="E11" s="65"/>
      <c r="F11" s="65"/>
      <c r="G11" s="65"/>
      <c r="H11" s="65"/>
      <c r="I11" s="66"/>
      <c r="K11" s="184" t="s">
        <v>310</v>
      </c>
      <c r="L11" s="80" t="s">
        <v>311</v>
      </c>
      <c r="M11" s="176" t="s">
        <v>317</v>
      </c>
      <c r="N11" s="177" t="s">
        <v>318</v>
      </c>
      <c r="O11" s="177" t="s">
        <v>319</v>
      </c>
      <c r="P11" s="178" t="s">
        <v>320</v>
      </c>
    </row>
    <row r="12" spans="1:16" ht="15.75" thickBot="1" x14ac:dyDescent="0.3">
      <c r="A12" s="22" t="s">
        <v>120</v>
      </c>
      <c r="B12" s="15">
        <v>79.099999999999994</v>
      </c>
      <c r="C12" s="162"/>
      <c r="D12" s="155"/>
      <c r="E12" s="65"/>
      <c r="F12" s="65"/>
      <c r="G12" s="65"/>
      <c r="H12" s="65"/>
      <c r="I12" s="66"/>
      <c r="K12" s="186"/>
      <c r="L12" s="183" t="s">
        <v>312</v>
      </c>
      <c r="M12" s="179" t="s">
        <v>321</v>
      </c>
      <c r="N12" s="180" t="s">
        <v>322</v>
      </c>
      <c r="O12" s="180" t="s">
        <v>318</v>
      </c>
      <c r="P12" s="7" t="s">
        <v>323</v>
      </c>
    </row>
    <row r="13" spans="1:16" ht="15.75" thickBot="1" x14ac:dyDescent="0.3">
      <c r="A13" s="22" t="s">
        <v>121</v>
      </c>
      <c r="B13" s="15">
        <v>78.900000000000006</v>
      </c>
      <c r="C13" s="162"/>
      <c r="D13" s="155"/>
      <c r="E13" s="65"/>
      <c r="F13" s="65"/>
      <c r="G13" s="65"/>
      <c r="H13" s="65"/>
      <c r="I13" s="66"/>
      <c r="K13" s="164"/>
      <c r="L13" s="164"/>
      <c r="M13" s="164"/>
      <c r="N13" s="164"/>
      <c r="O13" s="164"/>
      <c r="P13" s="164"/>
    </row>
    <row r="14" spans="1:16" x14ac:dyDescent="0.25">
      <c r="A14" s="22" t="s">
        <v>122</v>
      </c>
      <c r="B14" s="15">
        <v>78.400000000000006</v>
      </c>
      <c r="C14" s="162"/>
      <c r="D14" s="155"/>
      <c r="E14" s="65"/>
      <c r="F14" s="65"/>
      <c r="G14" s="65"/>
      <c r="H14" s="65"/>
      <c r="I14" s="66"/>
      <c r="K14" s="624" t="s">
        <v>324</v>
      </c>
      <c r="L14" s="625"/>
      <c r="M14" s="625"/>
      <c r="N14" s="625"/>
      <c r="O14" s="625"/>
      <c r="P14" s="626"/>
    </row>
    <row r="15" spans="1:16" ht="15.75" thickBot="1" x14ac:dyDescent="0.3">
      <c r="A15" s="22" t="s">
        <v>123</v>
      </c>
      <c r="B15" s="15">
        <v>78.099999999999994</v>
      </c>
      <c r="C15" s="162"/>
      <c r="D15" s="155"/>
      <c r="E15" s="65"/>
      <c r="F15" s="65"/>
      <c r="G15" s="65"/>
      <c r="H15" s="65"/>
      <c r="I15" s="66"/>
      <c r="K15" s="627" t="s">
        <v>325</v>
      </c>
      <c r="L15" s="628"/>
      <c r="M15" s="628"/>
      <c r="N15" s="628"/>
      <c r="O15" s="628"/>
      <c r="P15" s="629"/>
    </row>
    <row r="16" spans="1:16" x14ac:dyDescent="0.25">
      <c r="A16" s="22" t="s">
        <v>124</v>
      </c>
      <c r="B16" s="15">
        <v>77.5</v>
      </c>
      <c r="C16" s="162"/>
      <c r="D16" s="155"/>
      <c r="E16" s="65"/>
      <c r="F16" s="65"/>
      <c r="G16" s="65"/>
      <c r="H16" s="65"/>
      <c r="I16" s="66"/>
    </row>
    <row r="17" spans="1:9" x14ac:dyDescent="0.25">
      <c r="A17" s="22" t="s">
        <v>125</v>
      </c>
      <c r="B17" s="15">
        <v>77.5</v>
      </c>
      <c r="C17" s="162"/>
      <c r="D17" s="155"/>
      <c r="E17" s="65"/>
      <c r="F17" s="65"/>
      <c r="G17" s="65"/>
      <c r="H17" s="65"/>
      <c r="I17" s="66"/>
    </row>
    <row r="18" spans="1:9" x14ac:dyDescent="0.25">
      <c r="A18" s="22" t="s">
        <v>126</v>
      </c>
      <c r="B18" s="15">
        <v>77.099999999999994</v>
      </c>
      <c r="C18" s="162"/>
      <c r="D18" s="155"/>
      <c r="E18" s="65"/>
      <c r="F18" s="65"/>
      <c r="G18" s="65"/>
      <c r="H18" s="65"/>
      <c r="I18" s="66"/>
    </row>
    <row r="19" spans="1:9" ht="15.75" thickBot="1" x14ac:dyDescent="0.3">
      <c r="A19" s="12" t="s">
        <v>127</v>
      </c>
      <c r="B19" s="16">
        <v>75.900000000000006</v>
      </c>
      <c r="C19" s="163"/>
      <c r="D19" s="156"/>
      <c r="E19" s="67"/>
      <c r="F19" s="67"/>
      <c r="G19" s="67"/>
      <c r="H19" s="67"/>
      <c r="I19" s="68"/>
    </row>
    <row r="20" spans="1:9" x14ac:dyDescent="0.25">
      <c r="A20" s="11" t="s">
        <v>109</v>
      </c>
      <c r="B20" s="18">
        <v>77.900000000000006</v>
      </c>
      <c r="C20" s="189"/>
      <c r="D20" s="190"/>
      <c r="E20" s="191"/>
      <c r="F20" s="191"/>
      <c r="G20" s="191"/>
      <c r="H20" s="191"/>
      <c r="I20" s="192"/>
    </row>
    <row r="21" spans="1:9" x14ac:dyDescent="0.25">
      <c r="A21" s="246" t="s">
        <v>111</v>
      </c>
      <c r="B21" s="247" t="s">
        <v>112</v>
      </c>
      <c r="C21" s="248"/>
      <c r="D21" s="249"/>
      <c r="E21" s="250"/>
      <c r="F21" s="250"/>
      <c r="G21" s="250"/>
      <c r="H21" s="250"/>
      <c r="I21" s="251"/>
    </row>
    <row r="22" spans="1:9" ht="15.75" thickBot="1" x14ac:dyDescent="0.3">
      <c r="A22" s="10" t="s">
        <v>381</v>
      </c>
      <c r="B22" s="259" t="s">
        <v>306</v>
      </c>
      <c r="C22" s="260"/>
      <c r="D22" s="261"/>
      <c r="E22" s="262"/>
      <c r="F22" s="262"/>
      <c r="G22" s="262"/>
      <c r="H22" s="262"/>
      <c r="I22" s="263"/>
    </row>
    <row r="23" spans="1:9" x14ac:dyDescent="0.25">
      <c r="A23" s="17" t="s">
        <v>378</v>
      </c>
      <c r="B23" s="6">
        <v>185</v>
      </c>
      <c r="C23" s="158"/>
      <c r="D23" s="57"/>
      <c r="E23" s="58"/>
      <c r="F23" s="58"/>
      <c r="G23" s="58"/>
      <c r="H23" s="58"/>
      <c r="I23" s="59"/>
    </row>
    <row r="24" spans="1:9" ht="15.75" thickBot="1" x14ac:dyDescent="0.3">
      <c r="A24" s="10" t="s">
        <v>379</v>
      </c>
      <c r="B24" s="7">
        <v>210</v>
      </c>
      <c r="C24" s="160"/>
      <c r="D24" s="60"/>
      <c r="E24" s="61"/>
      <c r="F24" s="61"/>
      <c r="G24" s="61"/>
      <c r="H24" s="61"/>
      <c r="I24" s="62"/>
    </row>
  </sheetData>
  <mergeCells count="8">
    <mergeCell ref="A3:I3"/>
    <mergeCell ref="A1:I1"/>
    <mergeCell ref="A2:I2"/>
    <mergeCell ref="K14:P14"/>
    <mergeCell ref="K15:P15"/>
    <mergeCell ref="K5:P5"/>
    <mergeCell ref="K7:L7"/>
    <mergeCell ref="K8: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89FA-7072-49DC-A085-50EBB163723D}">
  <sheetPr>
    <tabColor rgb="FF92D050"/>
  </sheetPr>
  <dimension ref="A1:H80"/>
  <sheetViews>
    <sheetView zoomScale="80" zoomScaleNormal="80" workbookViewId="0">
      <selection activeCell="L13" sqref="L13"/>
    </sheetView>
  </sheetViews>
  <sheetFormatPr defaultRowHeight="15" x14ac:dyDescent="0.25"/>
  <cols>
    <col min="1" max="1" width="9.140625" style="25" customWidth="1"/>
    <col min="2" max="2" width="11.28515625" style="25" customWidth="1"/>
    <col min="3" max="7" width="9.140625" style="25"/>
    <col min="8" max="8" width="11.85546875" style="25" customWidth="1"/>
    <col min="9" max="16384" width="9.140625" style="25"/>
  </cols>
  <sheetData>
    <row r="1" spans="1:8" ht="15.75" thickBot="1" x14ac:dyDescent="0.3">
      <c r="A1" s="376" t="s">
        <v>7</v>
      </c>
      <c r="B1" s="377"/>
      <c r="C1" s="377"/>
      <c r="D1" s="377"/>
      <c r="E1" s="377"/>
      <c r="F1" s="377"/>
      <c r="G1" s="377"/>
      <c r="H1" s="378"/>
    </row>
    <row r="2" spans="1:8" x14ac:dyDescent="0.25">
      <c r="A2" s="385" t="s">
        <v>8</v>
      </c>
      <c r="B2" s="386"/>
      <c r="C2" s="379"/>
      <c r="D2" s="379"/>
      <c r="E2" s="379"/>
      <c r="F2" s="379"/>
      <c r="G2" s="379"/>
      <c r="H2" s="380"/>
    </row>
    <row r="3" spans="1:8" x14ac:dyDescent="0.25">
      <c r="A3" s="387" t="s">
        <v>9</v>
      </c>
      <c r="B3" s="388"/>
      <c r="C3" s="381"/>
      <c r="D3" s="381"/>
      <c r="E3" s="381"/>
      <c r="F3" s="381"/>
      <c r="G3" s="381"/>
      <c r="H3" s="382"/>
    </row>
    <row r="4" spans="1:8" x14ac:dyDescent="0.25">
      <c r="A4" s="387" t="s">
        <v>155</v>
      </c>
      <c r="B4" s="388"/>
      <c r="C4" s="383"/>
      <c r="D4" s="383"/>
      <c r="E4" s="383"/>
      <c r="F4" s="383"/>
      <c r="G4" s="383"/>
      <c r="H4" s="384"/>
    </row>
    <row r="5" spans="1:8" x14ac:dyDescent="0.25">
      <c r="A5" s="387" t="s">
        <v>10</v>
      </c>
      <c r="B5" s="388"/>
      <c r="C5" s="381"/>
      <c r="D5" s="381"/>
      <c r="E5" s="381"/>
      <c r="F5" s="381"/>
      <c r="G5" s="381"/>
      <c r="H5" s="382"/>
    </row>
    <row r="6" spans="1:8" x14ac:dyDescent="0.25">
      <c r="A6" s="387" t="s">
        <v>11</v>
      </c>
      <c r="B6" s="388"/>
      <c r="C6" s="381"/>
      <c r="D6" s="381"/>
      <c r="E6" s="381"/>
      <c r="F6" s="381"/>
      <c r="G6" s="381"/>
      <c r="H6" s="382"/>
    </row>
    <row r="7" spans="1:8" x14ac:dyDescent="0.25">
      <c r="A7" s="435" t="s">
        <v>12</v>
      </c>
      <c r="B7" s="436"/>
      <c r="C7" s="381"/>
      <c r="D7" s="381"/>
      <c r="E7" s="381"/>
      <c r="F7" s="381"/>
      <c r="G7" s="381"/>
      <c r="H7" s="382"/>
    </row>
    <row r="8" spans="1:8" x14ac:dyDescent="0.25">
      <c r="A8" s="435" t="s">
        <v>13</v>
      </c>
      <c r="B8" s="436"/>
      <c r="C8" s="381"/>
      <c r="D8" s="381"/>
      <c r="E8" s="381"/>
      <c r="F8" s="381"/>
      <c r="G8" s="381"/>
      <c r="H8" s="382"/>
    </row>
    <row r="9" spans="1:8" x14ac:dyDescent="0.25">
      <c r="A9" s="387" t="s">
        <v>14</v>
      </c>
      <c r="B9" s="388"/>
      <c r="C9" s="434"/>
      <c r="D9" s="427"/>
      <c r="E9" s="427"/>
      <c r="F9" s="427"/>
      <c r="G9" s="427"/>
      <c r="H9" s="428"/>
    </row>
    <row r="10" spans="1:8" x14ac:dyDescent="0.25">
      <c r="A10" s="430" t="s">
        <v>15</v>
      </c>
      <c r="B10" s="449"/>
      <c r="C10" s="450"/>
      <c r="D10" s="450"/>
      <c r="E10" s="450"/>
      <c r="F10" s="450"/>
      <c r="G10" s="450"/>
      <c r="H10" s="451"/>
    </row>
    <row r="11" spans="1:8" x14ac:dyDescent="0.25">
      <c r="A11" s="392"/>
      <c r="B11" s="392"/>
      <c r="C11" s="392"/>
      <c r="D11" s="392"/>
      <c r="E11" s="392"/>
      <c r="F11" s="392"/>
      <c r="G11" s="392"/>
    </row>
    <row r="12" spans="1:8" ht="15.75" thickBot="1" x14ac:dyDescent="0.3">
      <c r="A12" s="376" t="s">
        <v>16</v>
      </c>
      <c r="B12" s="377"/>
      <c r="C12" s="377"/>
      <c r="D12" s="377"/>
      <c r="E12" s="377"/>
      <c r="F12" s="377"/>
      <c r="G12" s="377"/>
      <c r="H12" s="378"/>
    </row>
    <row r="13" spans="1:8" ht="15.75" thickBot="1" x14ac:dyDescent="0.3">
      <c r="A13" s="396" t="s">
        <v>156</v>
      </c>
      <c r="B13" s="397"/>
      <c r="C13" s="397"/>
      <c r="D13" s="397"/>
      <c r="E13" s="397"/>
      <c r="F13" s="397"/>
      <c r="G13" s="397"/>
      <c r="H13" s="398"/>
    </row>
    <row r="14" spans="1:8" ht="15.75" thickBot="1" x14ac:dyDescent="0.3">
      <c r="A14" s="443" t="s">
        <v>17</v>
      </c>
      <c r="B14" s="444"/>
      <c r="C14" s="445"/>
      <c r="D14" s="446" t="s">
        <v>18</v>
      </c>
      <c r="E14" s="447"/>
      <c r="F14" s="447"/>
      <c r="G14" s="447"/>
      <c r="H14" s="448"/>
    </row>
    <row r="15" spans="1:8" x14ac:dyDescent="0.25">
      <c r="A15" s="452"/>
      <c r="B15" s="379"/>
      <c r="C15" s="379"/>
      <c r="D15" s="394" t="s">
        <v>19</v>
      </c>
      <c r="E15" s="394"/>
      <c r="F15" s="394"/>
      <c r="G15" s="394"/>
      <c r="H15" s="395"/>
    </row>
    <row r="16" spans="1:8" x14ac:dyDescent="0.25">
      <c r="A16" s="453" t="s">
        <v>20</v>
      </c>
      <c r="B16" s="454"/>
      <c r="C16" s="77" t="s">
        <v>21</v>
      </c>
      <c r="D16" s="26" t="s">
        <v>22</v>
      </c>
      <c r="E16" s="27" t="s">
        <v>23</v>
      </c>
      <c r="F16" s="28" t="s">
        <v>24</v>
      </c>
      <c r="G16" s="29" t="s">
        <v>25</v>
      </c>
      <c r="H16" s="30" t="s">
        <v>26</v>
      </c>
    </row>
    <row r="17" spans="1:8" x14ac:dyDescent="0.25">
      <c r="A17" s="31">
        <v>50</v>
      </c>
      <c r="B17" s="77" t="s">
        <v>27</v>
      </c>
      <c r="C17" s="90"/>
      <c r="D17" s="72"/>
      <c r="E17" s="72"/>
      <c r="F17" s="72"/>
      <c r="G17" s="71"/>
      <c r="H17" s="73"/>
    </row>
    <row r="18" spans="1:8" x14ac:dyDescent="0.25">
      <c r="A18" s="31">
        <v>100</v>
      </c>
      <c r="B18" s="77" t="s">
        <v>27</v>
      </c>
      <c r="C18" s="90"/>
      <c r="D18" s="72"/>
      <c r="E18" s="72"/>
      <c r="F18" s="72"/>
      <c r="G18" s="71"/>
      <c r="H18" s="73"/>
    </row>
    <row r="19" spans="1:8" x14ac:dyDescent="0.25">
      <c r="A19" s="31">
        <v>200</v>
      </c>
      <c r="B19" s="77" t="s">
        <v>27</v>
      </c>
      <c r="C19" s="90"/>
      <c r="D19" s="72"/>
      <c r="E19" s="72"/>
      <c r="F19" s="72"/>
      <c r="G19" s="71"/>
      <c r="H19" s="73"/>
    </row>
    <row r="20" spans="1:8" x14ac:dyDescent="0.25">
      <c r="A20" s="31">
        <v>400</v>
      </c>
      <c r="B20" s="77" t="s">
        <v>27</v>
      </c>
      <c r="C20" s="90"/>
      <c r="D20" s="72"/>
      <c r="E20" s="72"/>
      <c r="F20" s="72"/>
      <c r="G20" s="71"/>
      <c r="H20" s="73"/>
    </row>
    <row r="21" spans="1:8" x14ac:dyDescent="0.25">
      <c r="A21" s="31">
        <v>800</v>
      </c>
      <c r="B21" s="77" t="s">
        <v>27</v>
      </c>
      <c r="C21" s="90"/>
      <c r="D21" s="72"/>
      <c r="E21" s="72"/>
      <c r="F21" s="72"/>
      <c r="G21" s="71"/>
      <c r="H21" s="73"/>
    </row>
    <row r="22" spans="1:8" x14ac:dyDescent="0.25">
      <c r="A22" s="31">
        <v>1500</v>
      </c>
      <c r="B22" s="77" t="s">
        <v>27</v>
      </c>
      <c r="C22" s="90"/>
      <c r="D22" s="72"/>
      <c r="E22" s="72"/>
      <c r="F22" s="72"/>
      <c r="G22" s="71"/>
      <c r="H22" s="73"/>
    </row>
    <row r="23" spans="1:8" x14ac:dyDescent="0.25">
      <c r="A23" s="31">
        <v>50</v>
      </c>
      <c r="B23" s="77" t="s">
        <v>28</v>
      </c>
      <c r="C23" s="90"/>
      <c r="D23" s="72"/>
      <c r="E23" s="72"/>
      <c r="F23" s="72"/>
      <c r="G23" s="71"/>
      <c r="H23" s="73"/>
    </row>
    <row r="24" spans="1:8" x14ac:dyDescent="0.25">
      <c r="A24" s="31">
        <v>100</v>
      </c>
      <c r="B24" s="77" t="s">
        <v>29</v>
      </c>
      <c r="C24" s="90"/>
      <c r="D24" s="72"/>
      <c r="E24" s="72"/>
      <c r="F24" s="72"/>
      <c r="G24" s="71"/>
      <c r="H24" s="73"/>
    </row>
    <row r="25" spans="1:8" x14ac:dyDescent="0.25">
      <c r="A25" s="31">
        <v>200</v>
      </c>
      <c r="B25" s="77" t="s">
        <v>29</v>
      </c>
      <c r="C25" s="90"/>
      <c r="D25" s="72"/>
      <c r="E25" s="72"/>
      <c r="F25" s="72"/>
      <c r="G25" s="71"/>
      <c r="H25" s="73"/>
    </row>
    <row r="26" spans="1:8" x14ac:dyDescent="0.25">
      <c r="A26" s="31">
        <v>50</v>
      </c>
      <c r="B26" s="77" t="s">
        <v>30</v>
      </c>
      <c r="C26" s="90"/>
      <c r="D26" s="72"/>
      <c r="E26" s="72"/>
      <c r="F26" s="72"/>
      <c r="G26" s="71"/>
      <c r="H26" s="73"/>
    </row>
    <row r="27" spans="1:8" x14ac:dyDescent="0.25">
      <c r="A27" s="31">
        <v>100</v>
      </c>
      <c r="B27" s="77" t="s">
        <v>31</v>
      </c>
      <c r="C27" s="90"/>
      <c r="D27" s="72"/>
      <c r="E27" s="72"/>
      <c r="F27" s="72"/>
      <c r="G27" s="71"/>
      <c r="H27" s="73"/>
    </row>
    <row r="28" spans="1:8" x14ac:dyDescent="0.25">
      <c r="A28" s="31">
        <v>200</v>
      </c>
      <c r="B28" s="77" t="s">
        <v>31</v>
      </c>
      <c r="C28" s="90"/>
      <c r="D28" s="72"/>
      <c r="E28" s="72"/>
      <c r="F28" s="72"/>
      <c r="G28" s="71"/>
      <c r="H28" s="73"/>
    </row>
    <row r="29" spans="1:8" x14ac:dyDescent="0.25">
      <c r="A29" s="31">
        <v>50</v>
      </c>
      <c r="B29" s="77" t="s">
        <v>32</v>
      </c>
      <c r="C29" s="90"/>
      <c r="D29" s="72"/>
      <c r="E29" s="72"/>
      <c r="F29" s="72"/>
      <c r="G29" s="71"/>
      <c r="H29" s="73"/>
    </row>
    <row r="30" spans="1:8" x14ac:dyDescent="0.25">
      <c r="A30" s="31">
        <v>100</v>
      </c>
      <c r="B30" s="77" t="s">
        <v>33</v>
      </c>
      <c r="C30" s="90"/>
      <c r="D30" s="72"/>
      <c r="E30" s="72"/>
      <c r="F30" s="72"/>
      <c r="G30" s="71"/>
      <c r="H30" s="73"/>
    </row>
    <row r="31" spans="1:8" x14ac:dyDescent="0.25">
      <c r="A31" s="31">
        <v>200</v>
      </c>
      <c r="B31" s="77" t="s">
        <v>33</v>
      </c>
      <c r="C31" s="90"/>
      <c r="D31" s="72"/>
      <c r="E31" s="72"/>
      <c r="F31" s="72"/>
      <c r="G31" s="71"/>
      <c r="H31" s="73"/>
    </row>
    <row r="32" spans="1:8" x14ac:dyDescent="0.25">
      <c r="A32" s="31">
        <v>150</v>
      </c>
      <c r="B32" s="77" t="s">
        <v>34</v>
      </c>
      <c r="C32" s="90"/>
      <c r="D32" s="72"/>
      <c r="E32" s="72"/>
      <c r="F32" s="72"/>
      <c r="G32" s="71"/>
      <c r="H32" s="73"/>
    </row>
    <row r="33" spans="1:8" x14ac:dyDescent="0.25">
      <c r="A33" s="31">
        <v>200</v>
      </c>
      <c r="B33" s="77" t="s">
        <v>35</v>
      </c>
      <c r="C33" s="90"/>
      <c r="D33" s="72"/>
      <c r="E33" s="72"/>
      <c r="F33" s="72"/>
      <c r="G33" s="71"/>
      <c r="H33" s="73"/>
    </row>
    <row r="34" spans="1:8" ht="15.75" thickBot="1" x14ac:dyDescent="0.3">
      <c r="A34" s="32">
        <v>400</v>
      </c>
      <c r="B34" s="33" t="s">
        <v>35</v>
      </c>
      <c r="C34" s="91"/>
      <c r="D34" s="74"/>
      <c r="E34" s="74"/>
      <c r="F34" s="74"/>
      <c r="G34" s="76"/>
      <c r="H34" s="75"/>
    </row>
    <row r="35" spans="1:8" x14ac:dyDescent="0.25">
      <c r="A35" s="437" t="s">
        <v>36</v>
      </c>
      <c r="B35" s="438"/>
      <c r="C35" s="438"/>
      <c r="D35" s="438"/>
      <c r="E35" s="438"/>
      <c r="F35" s="438"/>
      <c r="G35" s="438"/>
      <c r="H35" s="439"/>
    </row>
    <row r="36" spans="1:8" x14ac:dyDescent="0.25">
      <c r="A36" s="399" t="s">
        <v>37</v>
      </c>
      <c r="B36" s="400"/>
      <c r="C36" s="400"/>
      <c r="D36" s="400"/>
      <c r="E36" s="400"/>
      <c r="F36" s="400"/>
      <c r="G36" s="400"/>
      <c r="H36" s="401"/>
    </row>
    <row r="37" spans="1:8" x14ac:dyDescent="0.25">
      <c r="A37" s="34" t="s">
        <v>38</v>
      </c>
      <c r="B37" s="402" t="s">
        <v>157</v>
      </c>
      <c r="C37" s="402"/>
      <c r="D37" s="402"/>
      <c r="E37" s="402"/>
      <c r="F37" s="402"/>
      <c r="G37" s="402"/>
      <c r="H37" s="403"/>
    </row>
    <row r="38" spans="1:8" x14ac:dyDescent="0.25">
      <c r="A38" s="34" t="s">
        <v>39</v>
      </c>
      <c r="B38" s="402" t="s">
        <v>158</v>
      </c>
      <c r="C38" s="402"/>
      <c r="D38" s="402"/>
      <c r="E38" s="402"/>
      <c r="F38" s="402"/>
      <c r="G38" s="402"/>
      <c r="H38" s="403"/>
    </row>
    <row r="39" spans="1:8" ht="15.75" thickBot="1" x14ac:dyDescent="0.3">
      <c r="A39" s="35" t="s">
        <v>40</v>
      </c>
      <c r="B39" s="404" t="s">
        <v>41</v>
      </c>
      <c r="C39" s="404"/>
      <c r="D39" s="404"/>
      <c r="E39" s="404"/>
      <c r="F39" s="404"/>
      <c r="G39" s="404"/>
      <c r="H39" s="405"/>
    </row>
    <row r="40" spans="1:8" x14ac:dyDescent="0.25">
      <c r="A40" s="392"/>
      <c r="B40" s="392"/>
      <c r="C40" s="392"/>
      <c r="D40" s="392"/>
      <c r="E40" s="392"/>
      <c r="F40" s="392"/>
      <c r="G40" s="392"/>
      <c r="H40" s="392"/>
    </row>
    <row r="41" spans="1:8" x14ac:dyDescent="0.25">
      <c r="A41" s="406" t="s">
        <v>42</v>
      </c>
      <c r="B41" s="407"/>
      <c r="C41" s="407"/>
      <c r="D41" s="407"/>
      <c r="E41" s="407"/>
      <c r="F41" s="407"/>
      <c r="G41" s="407"/>
      <c r="H41" s="408"/>
    </row>
    <row r="42" spans="1:8" x14ac:dyDescent="0.25">
      <c r="A42" s="412"/>
      <c r="B42" s="413"/>
      <c r="C42" s="413"/>
      <c r="D42" s="413"/>
      <c r="E42" s="413"/>
      <c r="F42" s="413"/>
      <c r="G42" s="413"/>
      <c r="H42" s="414"/>
    </row>
    <row r="43" spans="1:8" x14ac:dyDescent="0.25">
      <c r="A43" s="415"/>
      <c r="B43" s="416"/>
      <c r="C43" s="416"/>
      <c r="D43" s="416"/>
      <c r="E43" s="416"/>
      <c r="F43" s="416"/>
      <c r="G43" s="416"/>
      <c r="H43" s="417"/>
    </row>
    <row r="44" spans="1:8" x14ac:dyDescent="0.25">
      <c r="A44" s="415"/>
      <c r="B44" s="416"/>
      <c r="C44" s="416"/>
      <c r="D44" s="416"/>
      <c r="E44" s="416"/>
      <c r="F44" s="416"/>
      <c r="G44" s="416"/>
      <c r="H44" s="417"/>
    </row>
    <row r="45" spans="1:8" x14ac:dyDescent="0.25">
      <c r="A45" s="415"/>
      <c r="B45" s="416"/>
      <c r="C45" s="416"/>
      <c r="D45" s="416"/>
      <c r="E45" s="416"/>
      <c r="F45" s="416"/>
      <c r="G45" s="416"/>
      <c r="H45" s="417"/>
    </row>
    <row r="46" spans="1:8" x14ac:dyDescent="0.25">
      <c r="A46" s="415"/>
      <c r="B46" s="416"/>
      <c r="C46" s="416"/>
      <c r="D46" s="416"/>
      <c r="E46" s="416"/>
      <c r="F46" s="416"/>
      <c r="G46" s="416"/>
      <c r="H46" s="417"/>
    </row>
    <row r="47" spans="1:8" x14ac:dyDescent="0.25">
      <c r="A47" s="415"/>
      <c r="B47" s="416"/>
      <c r="C47" s="416"/>
      <c r="D47" s="416"/>
      <c r="E47" s="416"/>
      <c r="F47" s="416"/>
      <c r="G47" s="416"/>
      <c r="H47" s="417"/>
    </row>
    <row r="48" spans="1:8" x14ac:dyDescent="0.25">
      <c r="A48" s="415"/>
      <c r="B48" s="416"/>
      <c r="C48" s="416"/>
      <c r="D48" s="416"/>
      <c r="E48" s="416"/>
      <c r="F48" s="416"/>
      <c r="G48" s="416"/>
      <c r="H48" s="417"/>
    </row>
    <row r="49" spans="1:8" x14ac:dyDescent="0.25">
      <c r="A49" s="458"/>
      <c r="B49" s="392"/>
      <c r="C49" s="392"/>
      <c r="D49" s="392"/>
      <c r="E49" s="392"/>
      <c r="F49" s="392"/>
      <c r="G49" s="392"/>
      <c r="H49" s="459"/>
    </row>
    <row r="50" spans="1:8" x14ac:dyDescent="0.25">
      <c r="A50" s="455" t="s">
        <v>43</v>
      </c>
      <c r="B50" s="456"/>
      <c r="C50" s="456"/>
      <c r="D50" s="456"/>
      <c r="E50" s="456"/>
      <c r="F50" s="456"/>
      <c r="G50" s="456"/>
      <c r="H50" s="457"/>
    </row>
    <row r="51" spans="1:8" x14ac:dyDescent="0.25">
      <c r="A51" s="370"/>
      <c r="B51" s="371"/>
      <c r="C51" s="371"/>
      <c r="D51" s="371"/>
      <c r="E51" s="371"/>
      <c r="F51" s="371"/>
      <c r="G51" s="371"/>
      <c r="H51" s="372"/>
    </row>
    <row r="52" spans="1:8" x14ac:dyDescent="0.25">
      <c r="A52" s="373"/>
      <c r="B52" s="374"/>
      <c r="C52" s="374"/>
      <c r="D52" s="374"/>
      <c r="E52" s="374"/>
      <c r="F52" s="374"/>
      <c r="G52" s="374"/>
      <c r="H52" s="375"/>
    </row>
    <row r="53" spans="1:8" x14ac:dyDescent="0.25">
      <c r="A53" s="373"/>
      <c r="B53" s="374"/>
      <c r="C53" s="374"/>
      <c r="D53" s="374"/>
      <c r="E53" s="374"/>
      <c r="F53" s="374"/>
      <c r="G53" s="374"/>
      <c r="H53" s="375"/>
    </row>
    <row r="54" spans="1:8" x14ac:dyDescent="0.25">
      <c r="A54" s="373"/>
      <c r="B54" s="374"/>
      <c r="C54" s="374"/>
      <c r="D54" s="374"/>
      <c r="E54" s="374"/>
      <c r="F54" s="374"/>
      <c r="G54" s="374"/>
      <c r="H54" s="375"/>
    </row>
    <row r="55" spans="1:8" x14ac:dyDescent="0.25">
      <c r="A55" s="358"/>
      <c r="B55" s="359"/>
      <c r="C55" s="359"/>
      <c r="D55" s="359"/>
      <c r="E55" s="359"/>
      <c r="F55" s="359"/>
      <c r="G55" s="359"/>
      <c r="H55" s="360"/>
    </row>
    <row r="56" spans="1:8" x14ac:dyDescent="0.25">
      <c r="A56" s="358"/>
      <c r="B56" s="359"/>
      <c r="C56" s="359"/>
      <c r="D56" s="359"/>
      <c r="E56" s="359"/>
      <c r="F56" s="359"/>
      <c r="G56" s="359"/>
      <c r="H56" s="360"/>
    </row>
    <row r="57" spans="1:8" ht="15.75" thickBot="1" x14ac:dyDescent="0.3">
      <c r="A57" s="409"/>
      <c r="B57" s="410"/>
      <c r="C57" s="410"/>
      <c r="D57" s="410"/>
      <c r="E57" s="410"/>
      <c r="F57" s="410"/>
      <c r="G57" s="410"/>
      <c r="H57" s="411"/>
    </row>
    <row r="58" spans="1:8" x14ac:dyDescent="0.25">
      <c r="A58" s="364" t="s">
        <v>44</v>
      </c>
      <c r="B58" s="365"/>
      <c r="C58" s="365"/>
      <c r="D58" s="365"/>
      <c r="E58" s="365"/>
      <c r="F58" s="365"/>
      <c r="G58" s="365"/>
      <c r="H58" s="366"/>
    </row>
    <row r="59" spans="1:8" ht="15.75" thickBot="1" x14ac:dyDescent="0.3">
      <c r="A59" s="440" t="s">
        <v>45</v>
      </c>
      <c r="B59" s="441"/>
      <c r="C59" s="441"/>
      <c r="D59" s="441"/>
      <c r="E59" s="441"/>
      <c r="F59" s="441"/>
      <c r="G59" s="441"/>
      <c r="H59" s="442"/>
    </row>
    <row r="60" spans="1:8" x14ac:dyDescent="0.25">
      <c r="A60" s="367"/>
      <c r="B60" s="368"/>
      <c r="C60" s="368"/>
      <c r="D60" s="368"/>
      <c r="E60" s="368"/>
      <c r="F60" s="368"/>
      <c r="G60" s="368"/>
      <c r="H60" s="369"/>
    </row>
    <row r="61" spans="1:8" x14ac:dyDescent="0.25">
      <c r="A61" s="358"/>
      <c r="B61" s="359"/>
      <c r="C61" s="359"/>
      <c r="D61" s="359"/>
      <c r="E61" s="359"/>
      <c r="F61" s="359"/>
      <c r="G61" s="359"/>
      <c r="H61" s="360"/>
    </row>
    <row r="62" spans="1:8" x14ac:dyDescent="0.25">
      <c r="A62" s="358"/>
      <c r="B62" s="359"/>
      <c r="C62" s="359"/>
      <c r="D62" s="359"/>
      <c r="E62" s="359"/>
      <c r="F62" s="359"/>
      <c r="G62" s="359"/>
      <c r="H62" s="360"/>
    </row>
    <row r="63" spans="1:8" x14ac:dyDescent="0.25">
      <c r="A63" s="358"/>
      <c r="B63" s="359"/>
      <c r="C63" s="359"/>
      <c r="D63" s="359"/>
      <c r="E63" s="359"/>
      <c r="F63" s="359"/>
      <c r="G63" s="359"/>
      <c r="H63" s="360"/>
    </row>
    <row r="64" spans="1:8" x14ac:dyDescent="0.25">
      <c r="A64" s="358"/>
      <c r="B64" s="359"/>
      <c r="C64" s="359"/>
      <c r="D64" s="359"/>
      <c r="E64" s="359"/>
      <c r="F64" s="359"/>
      <c r="G64" s="359"/>
      <c r="H64" s="360"/>
    </row>
    <row r="65" spans="1:8" x14ac:dyDescent="0.25">
      <c r="A65" s="358"/>
      <c r="B65" s="359"/>
      <c r="C65" s="359"/>
      <c r="D65" s="359"/>
      <c r="E65" s="359"/>
      <c r="F65" s="359"/>
      <c r="G65" s="359"/>
      <c r="H65" s="360"/>
    </row>
    <row r="66" spans="1:8" x14ac:dyDescent="0.25">
      <c r="A66" s="361"/>
      <c r="B66" s="362"/>
      <c r="C66" s="362"/>
      <c r="D66" s="362"/>
      <c r="E66" s="362"/>
      <c r="F66" s="362"/>
      <c r="G66" s="362"/>
      <c r="H66" s="363"/>
    </row>
    <row r="67" spans="1:8" x14ac:dyDescent="0.25">
      <c r="A67" s="389" t="s">
        <v>46</v>
      </c>
      <c r="B67" s="390"/>
      <c r="C67" s="391"/>
      <c r="D67" s="392"/>
      <c r="E67" s="392"/>
      <c r="F67" s="392"/>
      <c r="G67" s="392"/>
      <c r="H67" s="393"/>
    </row>
    <row r="68" spans="1:8" x14ac:dyDescent="0.25">
      <c r="A68" s="418" t="s">
        <v>47</v>
      </c>
      <c r="B68" s="419"/>
      <c r="C68" s="419"/>
      <c r="D68" s="419"/>
      <c r="E68" s="419"/>
      <c r="F68" s="419"/>
      <c r="G68" s="419"/>
      <c r="H68" s="420"/>
    </row>
    <row r="69" spans="1:8" x14ac:dyDescent="0.25">
      <c r="A69" s="421"/>
      <c r="B69" s="422"/>
      <c r="C69" s="422"/>
      <c r="D69" s="422"/>
      <c r="E69" s="422"/>
      <c r="F69" s="422"/>
      <c r="G69" s="422"/>
      <c r="H69" s="423"/>
    </row>
    <row r="70" spans="1:8" x14ac:dyDescent="0.25">
      <c r="A70" s="421"/>
      <c r="B70" s="422"/>
      <c r="C70" s="422"/>
      <c r="D70" s="422"/>
      <c r="E70" s="422"/>
      <c r="F70" s="422"/>
      <c r="G70" s="422"/>
      <c r="H70" s="423"/>
    </row>
    <row r="71" spans="1:8" x14ac:dyDescent="0.25">
      <c r="A71" s="421"/>
      <c r="B71" s="422"/>
      <c r="C71" s="422"/>
      <c r="D71" s="422"/>
      <c r="E71" s="422"/>
      <c r="F71" s="422"/>
      <c r="G71" s="422"/>
      <c r="H71" s="423"/>
    </row>
    <row r="72" spans="1:8" x14ac:dyDescent="0.25">
      <c r="A72" s="421"/>
      <c r="B72" s="422"/>
      <c r="C72" s="422"/>
      <c r="D72" s="422"/>
      <c r="E72" s="422"/>
      <c r="F72" s="422"/>
      <c r="G72" s="422"/>
      <c r="H72" s="423"/>
    </row>
    <row r="73" spans="1:8" x14ac:dyDescent="0.25">
      <c r="A73" s="421"/>
      <c r="B73" s="422"/>
      <c r="C73" s="422"/>
      <c r="D73" s="422"/>
      <c r="E73" s="422"/>
      <c r="F73" s="422"/>
      <c r="G73" s="422"/>
      <c r="H73" s="423"/>
    </row>
    <row r="74" spans="1:8" x14ac:dyDescent="0.25">
      <c r="A74" s="421"/>
      <c r="B74" s="422"/>
      <c r="C74" s="422"/>
      <c r="D74" s="422"/>
      <c r="E74" s="422"/>
      <c r="F74" s="422"/>
      <c r="G74" s="422"/>
      <c r="H74" s="423"/>
    </row>
    <row r="75" spans="1:8" ht="15.75" thickBot="1" x14ac:dyDescent="0.3">
      <c r="A75" s="424"/>
      <c r="B75" s="425"/>
      <c r="C75" s="422"/>
      <c r="D75" s="422"/>
      <c r="E75" s="422"/>
      <c r="F75" s="422"/>
      <c r="G75" s="422"/>
      <c r="H75" s="423"/>
    </row>
    <row r="76" spans="1:8" x14ac:dyDescent="0.25">
      <c r="A76" s="385" t="s">
        <v>48</v>
      </c>
      <c r="B76" s="426"/>
      <c r="C76" s="427"/>
      <c r="D76" s="427"/>
      <c r="E76" s="427"/>
      <c r="F76" s="427"/>
      <c r="G76" s="427"/>
      <c r="H76" s="428"/>
    </row>
    <row r="77" spans="1:8" x14ac:dyDescent="0.25">
      <c r="A77" s="387" t="s">
        <v>106</v>
      </c>
      <c r="B77" s="429"/>
      <c r="C77" s="427"/>
      <c r="D77" s="427"/>
      <c r="E77" s="427"/>
      <c r="F77" s="427"/>
      <c r="G77" s="427"/>
      <c r="H77" s="428"/>
    </row>
    <row r="78" spans="1:8" x14ac:dyDescent="0.25">
      <c r="A78" s="387" t="s">
        <v>49</v>
      </c>
      <c r="B78" s="429"/>
      <c r="C78" s="427"/>
      <c r="D78" s="427"/>
      <c r="E78" s="427"/>
      <c r="F78" s="427"/>
      <c r="G78" s="427"/>
      <c r="H78" s="428"/>
    </row>
    <row r="79" spans="1:8" ht="15.75" thickBot="1" x14ac:dyDescent="0.3">
      <c r="A79" s="430" t="s">
        <v>50</v>
      </c>
      <c r="B79" s="431"/>
      <c r="C79" s="432"/>
      <c r="D79" s="432"/>
      <c r="E79" s="432"/>
      <c r="F79" s="432"/>
      <c r="G79" s="432"/>
      <c r="H79" s="433"/>
    </row>
    <row r="80" spans="1:8" ht="15.75" thickBot="1" x14ac:dyDescent="0.3">
      <c r="A80" s="376" t="s">
        <v>51</v>
      </c>
      <c r="B80" s="377"/>
      <c r="C80" s="377"/>
      <c r="D80" s="377"/>
      <c r="E80" s="377"/>
      <c r="F80" s="377"/>
      <c r="G80" s="377"/>
      <c r="H80" s="378"/>
    </row>
  </sheetData>
  <mergeCells count="78">
    <mergeCell ref="A35:H35"/>
    <mergeCell ref="A59:H59"/>
    <mergeCell ref="A14:C14"/>
    <mergeCell ref="D14:H14"/>
    <mergeCell ref="A10:B10"/>
    <mergeCell ref="C10:H10"/>
    <mergeCell ref="A15:C15"/>
    <mergeCell ref="A11:G11"/>
    <mergeCell ref="A16:B16"/>
    <mergeCell ref="A44:H44"/>
    <mergeCell ref="A45:H45"/>
    <mergeCell ref="A46:H46"/>
    <mergeCell ref="A47:H47"/>
    <mergeCell ref="A48:H48"/>
    <mergeCell ref="A50:H50"/>
    <mergeCell ref="A49:H49"/>
    <mergeCell ref="A6:B6"/>
    <mergeCell ref="A5:B5"/>
    <mergeCell ref="A4:B4"/>
    <mergeCell ref="C9:H9"/>
    <mergeCell ref="A9:B9"/>
    <mergeCell ref="C6:H6"/>
    <mergeCell ref="C7:H7"/>
    <mergeCell ref="C8:H8"/>
    <mergeCell ref="A7:B7"/>
    <mergeCell ref="A8:B8"/>
    <mergeCell ref="A73:H73"/>
    <mergeCell ref="A74:H74"/>
    <mergeCell ref="A75:H75"/>
    <mergeCell ref="A80:H80"/>
    <mergeCell ref="A76:B76"/>
    <mergeCell ref="C76:H76"/>
    <mergeCell ref="A78:B78"/>
    <mergeCell ref="C78:H78"/>
    <mergeCell ref="A79:B79"/>
    <mergeCell ref="C79:H79"/>
    <mergeCell ref="C77:H77"/>
    <mergeCell ref="A77:B77"/>
    <mergeCell ref="A68:H68"/>
    <mergeCell ref="A69:H69"/>
    <mergeCell ref="A70:H70"/>
    <mergeCell ref="A71:H71"/>
    <mergeCell ref="A72:H72"/>
    <mergeCell ref="A67:C67"/>
    <mergeCell ref="D67:H67"/>
    <mergeCell ref="D15:H15"/>
    <mergeCell ref="A12:H12"/>
    <mergeCell ref="A13:H13"/>
    <mergeCell ref="A36:H36"/>
    <mergeCell ref="B37:H37"/>
    <mergeCell ref="B38:H38"/>
    <mergeCell ref="B39:H39"/>
    <mergeCell ref="A41:H41"/>
    <mergeCell ref="A57:H57"/>
    <mergeCell ref="A61:H61"/>
    <mergeCell ref="A62:H62"/>
    <mergeCell ref="A42:H42"/>
    <mergeCell ref="A40:H40"/>
    <mergeCell ref="A43:H43"/>
    <mergeCell ref="A1:H1"/>
    <mergeCell ref="C2:H2"/>
    <mergeCell ref="C3:H3"/>
    <mergeCell ref="C4:H4"/>
    <mergeCell ref="C5:H5"/>
    <mergeCell ref="A2:B2"/>
    <mergeCell ref="A3:B3"/>
    <mergeCell ref="A65:H65"/>
    <mergeCell ref="A66:H66"/>
    <mergeCell ref="A58:H58"/>
    <mergeCell ref="A60:H60"/>
    <mergeCell ref="A51:H51"/>
    <mergeCell ref="A55:H55"/>
    <mergeCell ref="A56:H56"/>
    <mergeCell ref="A63:H63"/>
    <mergeCell ref="A64:H64"/>
    <mergeCell ref="A52:H52"/>
    <mergeCell ref="A53:H53"/>
    <mergeCell ref="A54:H54"/>
  </mergeCells>
  <hyperlinks>
    <hyperlink ref="D14:H14" r:id="rId1" display="SNZ swimmer results page" xr:uid="{B5B4B6B4-CD7A-4BCE-9546-44CFE67BC8EA}"/>
  </hyperlink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012A8-65AA-4852-9E0E-88E939DE392F}">
  <sheetPr>
    <tabColor rgb="FF92D050"/>
  </sheetPr>
  <dimension ref="A1:H18"/>
  <sheetViews>
    <sheetView workbookViewId="0">
      <selection activeCell="H20" sqref="H20"/>
    </sheetView>
  </sheetViews>
  <sheetFormatPr defaultRowHeight="15" x14ac:dyDescent="0.25"/>
  <cols>
    <col min="8" max="8" width="39" customWidth="1"/>
  </cols>
  <sheetData>
    <row r="1" spans="1:8" ht="15.75" thickBot="1" x14ac:dyDescent="0.3">
      <c r="A1" s="466" t="s">
        <v>52</v>
      </c>
      <c r="B1" s="467"/>
      <c r="C1" s="467"/>
      <c r="D1" s="467"/>
      <c r="E1" s="467"/>
      <c r="F1" s="467"/>
      <c r="G1" s="467"/>
      <c r="H1" s="468"/>
    </row>
    <row r="2" spans="1:8" ht="15.75" thickBot="1" x14ac:dyDescent="0.3">
      <c r="A2" s="475"/>
      <c r="B2" s="475"/>
      <c r="C2" s="475"/>
      <c r="D2" s="475"/>
      <c r="E2" s="475"/>
      <c r="F2" s="475"/>
      <c r="G2" s="475"/>
      <c r="H2" s="475"/>
    </row>
    <row r="3" spans="1:8" x14ac:dyDescent="0.25">
      <c r="A3" s="273"/>
      <c r="B3" s="469" t="s">
        <v>60</v>
      </c>
      <c r="C3" s="470"/>
      <c r="D3" s="471"/>
      <c r="E3" s="469" t="s">
        <v>61</v>
      </c>
      <c r="F3" s="470"/>
      <c r="G3" s="471"/>
      <c r="H3" s="274" t="s">
        <v>351</v>
      </c>
    </row>
    <row r="4" spans="1:8" ht="15.75" thickBot="1" x14ac:dyDescent="0.3">
      <c r="A4" s="281"/>
      <c r="B4" s="282" t="s">
        <v>350</v>
      </c>
      <c r="C4" s="283" t="s">
        <v>348</v>
      </c>
      <c r="D4" s="284" t="s">
        <v>349</v>
      </c>
      <c r="E4" s="282" t="s">
        <v>350</v>
      </c>
      <c r="F4" s="283" t="s">
        <v>348</v>
      </c>
      <c r="G4" s="284" t="s">
        <v>349</v>
      </c>
      <c r="H4" s="285"/>
    </row>
    <row r="5" spans="1:8" ht="15.75" thickBot="1" x14ac:dyDescent="0.3">
      <c r="A5" s="286" t="s">
        <v>72</v>
      </c>
      <c r="B5" s="287">
        <v>5.15</v>
      </c>
      <c r="C5" s="288">
        <v>5.3</v>
      </c>
      <c r="D5" s="289">
        <v>7.3</v>
      </c>
      <c r="E5" s="287">
        <v>3.45</v>
      </c>
      <c r="F5" s="288">
        <v>4</v>
      </c>
      <c r="G5" s="289">
        <v>6</v>
      </c>
      <c r="H5" s="290" t="s">
        <v>352</v>
      </c>
    </row>
    <row r="6" spans="1:8" ht="15.75" thickBot="1" x14ac:dyDescent="0.3">
      <c r="A6" s="472"/>
      <c r="B6" s="473"/>
      <c r="C6" s="473"/>
      <c r="D6" s="473"/>
      <c r="E6" s="473"/>
      <c r="F6" s="473"/>
      <c r="G6" s="473"/>
      <c r="H6" s="474"/>
    </row>
    <row r="7" spans="1:8" x14ac:dyDescent="0.25">
      <c r="A7" s="277" t="s">
        <v>53</v>
      </c>
      <c r="B7" s="265"/>
      <c r="C7" s="266"/>
      <c r="D7" s="267"/>
      <c r="E7" s="275"/>
      <c r="F7" s="276"/>
      <c r="G7" s="267"/>
      <c r="H7" s="222"/>
    </row>
    <row r="8" spans="1:8" x14ac:dyDescent="0.25">
      <c r="A8" s="233" t="s">
        <v>54</v>
      </c>
      <c r="B8" s="268"/>
      <c r="C8" s="227"/>
      <c r="D8" s="269"/>
      <c r="E8" s="270"/>
      <c r="F8" s="228"/>
      <c r="G8" s="269"/>
      <c r="H8" s="159"/>
    </row>
    <row r="9" spans="1:8" x14ac:dyDescent="0.25">
      <c r="A9" s="233" t="s">
        <v>55</v>
      </c>
      <c r="B9" s="268"/>
      <c r="C9" s="227"/>
      <c r="D9" s="269"/>
      <c r="E9" s="270"/>
      <c r="F9" s="228"/>
      <c r="G9" s="269"/>
      <c r="H9" s="159"/>
    </row>
    <row r="10" spans="1:8" x14ac:dyDescent="0.25">
      <c r="A10" s="233" t="s">
        <v>56</v>
      </c>
      <c r="B10" s="268"/>
      <c r="C10" s="227"/>
      <c r="D10" s="269"/>
      <c r="E10" s="270"/>
      <c r="F10" s="228"/>
      <c r="G10" s="269"/>
      <c r="H10" s="159"/>
    </row>
    <row r="11" spans="1:8" x14ac:dyDescent="0.25">
      <c r="A11" s="233" t="s">
        <v>57</v>
      </c>
      <c r="B11" s="270"/>
      <c r="C11" s="228"/>
      <c r="D11" s="269"/>
      <c r="E11" s="270"/>
      <c r="F11" s="228"/>
      <c r="G11" s="269"/>
      <c r="H11" s="159"/>
    </row>
    <row r="12" spans="1:8" x14ac:dyDescent="0.25">
      <c r="A12" s="233" t="s">
        <v>58</v>
      </c>
      <c r="B12" s="270"/>
      <c r="C12" s="228"/>
      <c r="D12" s="269"/>
      <c r="E12" s="270"/>
      <c r="F12" s="228"/>
      <c r="G12" s="269"/>
      <c r="H12" s="159"/>
    </row>
    <row r="13" spans="1:8" ht="15.75" thickBot="1" x14ac:dyDescent="0.3">
      <c r="A13" s="234" t="s">
        <v>59</v>
      </c>
      <c r="B13" s="271"/>
      <c r="C13" s="264"/>
      <c r="D13" s="272"/>
      <c r="E13" s="271"/>
      <c r="F13" s="264"/>
      <c r="G13" s="272"/>
      <c r="H13" s="160"/>
    </row>
    <row r="14" spans="1:8" ht="15.75" thickBot="1" x14ac:dyDescent="0.3"/>
    <row r="15" spans="1:8" ht="15.75" thickBot="1" x14ac:dyDescent="0.3">
      <c r="A15" s="469" t="s">
        <v>382</v>
      </c>
      <c r="B15" s="470"/>
      <c r="C15" s="470"/>
      <c r="D15" s="476"/>
      <c r="E15" s="278"/>
      <c r="F15" s="477" t="s">
        <v>416</v>
      </c>
      <c r="G15" s="477"/>
      <c r="H15" s="478"/>
    </row>
    <row r="16" spans="1:8" x14ac:dyDescent="0.25">
      <c r="A16" s="460" t="s">
        <v>383</v>
      </c>
      <c r="B16" s="461"/>
      <c r="C16" s="461"/>
      <c r="D16" s="462"/>
      <c r="E16" s="279"/>
    </row>
    <row r="17" spans="1:8" x14ac:dyDescent="0.25">
      <c r="A17" s="460" t="s">
        <v>384</v>
      </c>
      <c r="B17" s="461"/>
      <c r="C17" s="461"/>
      <c r="D17" s="462"/>
      <c r="E17" s="279"/>
    </row>
    <row r="18" spans="1:8" ht="15.75" thickBot="1" x14ac:dyDescent="0.3">
      <c r="A18" s="463" t="s">
        <v>385</v>
      </c>
      <c r="B18" s="464"/>
      <c r="C18" s="464"/>
      <c r="D18" s="465"/>
      <c r="E18" s="280"/>
      <c r="F18" s="304"/>
      <c r="G18" s="304"/>
      <c r="H18" s="304"/>
    </row>
  </sheetData>
  <mergeCells count="10">
    <mergeCell ref="A17:D17"/>
    <mergeCell ref="A18:D18"/>
    <mergeCell ref="A1:H1"/>
    <mergeCell ref="B3:D3"/>
    <mergeCell ref="E3:G3"/>
    <mergeCell ref="A6:H6"/>
    <mergeCell ref="A2:H2"/>
    <mergeCell ref="A15:D15"/>
    <mergeCell ref="A16:D16"/>
    <mergeCell ref="F15:H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67B22-F901-4C41-A0A0-4D60329C842C}">
  <sheetPr>
    <tabColor rgb="FF92D050"/>
  </sheetPr>
  <dimension ref="A1:I86"/>
  <sheetViews>
    <sheetView workbookViewId="0">
      <selection activeCell="M7" sqref="M7"/>
    </sheetView>
  </sheetViews>
  <sheetFormatPr defaultRowHeight="15" x14ac:dyDescent="0.25"/>
  <cols>
    <col min="1" max="1" width="4.7109375" style="82" customWidth="1"/>
    <col min="2" max="2" width="32.5703125" customWidth="1"/>
    <col min="3" max="3" width="23.140625" bestFit="1" customWidth="1"/>
    <col min="4" max="9" width="5.85546875" customWidth="1"/>
  </cols>
  <sheetData>
    <row r="1" spans="1:9" ht="15.75" thickBot="1" x14ac:dyDescent="0.3">
      <c r="B1" s="497" t="s">
        <v>232</v>
      </c>
      <c r="C1" s="498"/>
      <c r="D1" s="498"/>
      <c r="E1" s="498"/>
      <c r="F1" s="498"/>
      <c r="G1" s="498"/>
      <c r="H1" s="498"/>
      <c r="I1" s="499"/>
    </row>
    <row r="2" spans="1:9" x14ac:dyDescent="0.25">
      <c r="B2" s="504" t="s">
        <v>233</v>
      </c>
      <c r="C2" s="505"/>
      <c r="D2" s="505"/>
      <c r="E2" s="505"/>
      <c r="F2" s="505"/>
      <c r="G2" s="505"/>
      <c r="H2" s="505"/>
      <c r="I2" s="506"/>
    </row>
    <row r="3" spans="1:9" x14ac:dyDescent="0.25">
      <c r="B3" s="500" t="s">
        <v>408</v>
      </c>
      <c r="C3" s="501"/>
      <c r="D3" s="501"/>
      <c r="E3" s="501"/>
      <c r="F3" s="501"/>
      <c r="G3" s="501"/>
      <c r="H3" s="501"/>
      <c r="I3" s="502"/>
    </row>
    <row r="4" spans="1:9" x14ac:dyDescent="0.25">
      <c r="B4" s="500" t="s">
        <v>409</v>
      </c>
      <c r="C4" s="501"/>
      <c r="D4" s="501"/>
      <c r="E4" s="501"/>
      <c r="F4" s="501"/>
      <c r="G4" s="501"/>
      <c r="H4" s="501"/>
      <c r="I4" s="502"/>
    </row>
    <row r="5" spans="1:9" x14ac:dyDescent="0.25">
      <c r="B5" s="500" t="s">
        <v>410</v>
      </c>
      <c r="C5" s="501"/>
      <c r="D5" s="501"/>
      <c r="E5" s="501"/>
      <c r="F5" s="501"/>
      <c r="G5" s="501"/>
      <c r="H5" s="501"/>
      <c r="I5" s="502"/>
    </row>
    <row r="6" spans="1:9" x14ac:dyDescent="0.25">
      <c r="B6" s="500" t="s">
        <v>411</v>
      </c>
      <c r="C6" s="501"/>
      <c r="D6" s="501"/>
      <c r="E6" s="501"/>
      <c r="F6" s="501"/>
      <c r="G6" s="501"/>
      <c r="H6" s="501"/>
      <c r="I6" s="502"/>
    </row>
    <row r="7" spans="1:9" x14ac:dyDescent="0.25">
      <c r="B7" s="500" t="s">
        <v>412</v>
      </c>
      <c r="C7" s="501"/>
      <c r="D7" s="501"/>
      <c r="E7" s="501"/>
      <c r="F7" s="501"/>
      <c r="G7" s="501"/>
      <c r="H7" s="501"/>
      <c r="I7" s="502"/>
    </row>
    <row r="8" spans="1:9" x14ac:dyDescent="0.25">
      <c r="B8" s="500" t="s">
        <v>413</v>
      </c>
      <c r="C8" s="501"/>
      <c r="D8" s="501"/>
      <c r="E8" s="501"/>
      <c r="F8" s="501"/>
      <c r="G8" s="501"/>
      <c r="H8" s="501"/>
      <c r="I8" s="502"/>
    </row>
    <row r="9" spans="1:9" x14ac:dyDescent="0.25">
      <c r="B9" s="503" t="s">
        <v>414</v>
      </c>
      <c r="C9" s="501"/>
      <c r="D9" s="501"/>
      <c r="E9" s="501"/>
      <c r="F9" s="501"/>
      <c r="G9" s="501"/>
      <c r="H9" s="501"/>
      <c r="I9" s="502"/>
    </row>
    <row r="10" spans="1:9" ht="15.75" thickBot="1" x14ac:dyDescent="0.3">
      <c r="A10" s="291"/>
      <c r="B10" s="479" t="s">
        <v>415</v>
      </c>
      <c r="C10" s="480"/>
      <c r="D10" s="480"/>
      <c r="E10" s="480"/>
      <c r="F10" s="480"/>
      <c r="G10" s="480"/>
      <c r="H10" s="480"/>
      <c r="I10" s="481"/>
    </row>
    <row r="11" spans="1:9" ht="15.75" thickBot="1" x14ac:dyDescent="0.3">
      <c r="B11" s="491"/>
      <c r="C11" s="491"/>
      <c r="D11" s="492"/>
      <c r="E11" s="492"/>
      <c r="F11" s="492"/>
      <c r="G11" s="492"/>
      <c r="H11" s="492"/>
      <c r="I11" s="492"/>
    </row>
    <row r="12" spans="1:9" x14ac:dyDescent="0.25">
      <c r="B12" s="485"/>
      <c r="C12" s="486"/>
      <c r="D12" s="493">
        <v>44682</v>
      </c>
      <c r="E12" s="494"/>
      <c r="F12" s="495">
        <v>44774</v>
      </c>
      <c r="G12" s="494"/>
      <c r="H12" s="495">
        <v>44896</v>
      </c>
      <c r="I12" s="496"/>
    </row>
    <row r="13" spans="1:9" ht="15.75" thickBot="1" x14ac:dyDescent="0.3">
      <c r="B13" s="484"/>
      <c r="C13" s="482"/>
      <c r="D13" s="119" t="s">
        <v>234</v>
      </c>
      <c r="E13" s="120" t="s">
        <v>235</v>
      </c>
      <c r="F13" s="121" t="s">
        <v>234</v>
      </c>
      <c r="G13" s="120" t="s">
        <v>235</v>
      </c>
      <c r="H13" s="121" t="s">
        <v>234</v>
      </c>
      <c r="I13" s="122" t="s">
        <v>235</v>
      </c>
    </row>
    <row r="14" spans="1:9" x14ac:dyDescent="0.25">
      <c r="A14" s="21"/>
      <c r="B14" s="123" t="s">
        <v>62</v>
      </c>
      <c r="C14" s="123" t="s">
        <v>236</v>
      </c>
      <c r="D14" s="488"/>
      <c r="E14" s="489"/>
      <c r="F14" s="489"/>
      <c r="G14" s="489"/>
      <c r="H14" s="489"/>
      <c r="I14" s="490"/>
    </row>
    <row r="15" spans="1:9" x14ac:dyDescent="0.25">
      <c r="A15" s="21">
        <v>1</v>
      </c>
      <c r="B15" s="3" t="s">
        <v>237</v>
      </c>
      <c r="C15" s="3" t="s">
        <v>238</v>
      </c>
      <c r="D15" s="21"/>
      <c r="E15" s="21"/>
      <c r="F15" s="21"/>
      <c r="G15" s="21"/>
      <c r="H15" s="21"/>
      <c r="I15" s="21"/>
    </row>
    <row r="16" spans="1:9" x14ac:dyDescent="0.25">
      <c r="A16" s="21">
        <v>2</v>
      </c>
      <c r="B16" s="3" t="s">
        <v>239</v>
      </c>
      <c r="C16" s="3" t="s">
        <v>238</v>
      </c>
      <c r="D16" s="21"/>
      <c r="E16" s="21"/>
      <c r="F16" s="21"/>
      <c r="G16" s="21"/>
      <c r="H16" s="21"/>
      <c r="I16" s="21"/>
    </row>
    <row r="17" spans="1:9" x14ac:dyDescent="0.25">
      <c r="A17" s="21">
        <v>3</v>
      </c>
      <c r="B17" s="3" t="s">
        <v>240</v>
      </c>
      <c r="C17" s="3" t="s">
        <v>241</v>
      </c>
      <c r="D17" s="21"/>
      <c r="E17" s="21"/>
      <c r="F17" s="21"/>
      <c r="G17" s="21"/>
      <c r="H17" s="21"/>
      <c r="I17" s="21"/>
    </row>
    <row r="18" spans="1:9" x14ac:dyDescent="0.25">
      <c r="A18" s="21">
        <v>4</v>
      </c>
      <c r="B18" s="3" t="s">
        <v>353</v>
      </c>
      <c r="C18" s="3" t="s">
        <v>242</v>
      </c>
      <c r="D18" s="21"/>
      <c r="E18" s="21"/>
      <c r="F18" s="21"/>
      <c r="G18" s="21"/>
      <c r="H18" s="21"/>
      <c r="I18" s="21"/>
    </row>
    <row r="19" spans="1:9" x14ac:dyDescent="0.25">
      <c r="A19" s="21"/>
      <c r="B19" s="484"/>
      <c r="C19" s="482"/>
      <c r="D19" s="482"/>
      <c r="E19" s="482"/>
      <c r="F19" s="482"/>
      <c r="G19" s="482"/>
      <c r="H19" s="482"/>
      <c r="I19" s="483"/>
    </row>
    <row r="20" spans="1:9" x14ac:dyDescent="0.25">
      <c r="A20" s="21"/>
      <c r="B20" s="123" t="s">
        <v>243</v>
      </c>
      <c r="C20" s="123" t="s">
        <v>236</v>
      </c>
      <c r="D20" s="484"/>
      <c r="E20" s="482"/>
      <c r="F20" s="482"/>
      <c r="G20" s="482"/>
      <c r="H20" s="482"/>
      <c r="I20" s="483"/>
    </row>
    <row r="21" spans="1:9" x14ac:dyDescent="0.25">
      <c r="A21" s="21">
        <v>5</v>
      </c>
      <c r="B21" s="3" t="s">
        <v>354</v>
      </c>
      <c r="C21" s="3" t="s">
        <v>244</v>
      </c>
      <c r="D21" s="21"/>
      <c r="E21" s="21"/>
      <c r="F21" s="21"/>
      <c r="G21" s="21"/>
      <c r="H21" s="21"/>
      <c r="I21" s="21"/>
    </row>
    <row r="22" spans="1:9" x14ac:dyDescent="0.25">
      <c r="A22" s="21">
        <v>6</v>
      </c>
      <c r="B22" s="3" t="s">
        <v>245</v>
      </c>
      <c r="C22" s="3" t="s">
        <v>244</v>
      </c>
      <c r="D22" s="21"/>
      <c r="E22" s="21"/>
      <c r="F22" s="21"/>
      <c r="G22" s="21"/>
      <c r="H22" s="21"/>
      <c r="I22" s="21"/>
    </row>
    <row r="23" spans="1:9" x14ac:dyDescent="0.25">
      <c r="A23" s="21">
        <v>7</v>
      </c>
      <c r="B23" s="3" t="s">
        <v>246</v>
      </c>
      <c r="C23" s="3" t="s">
        <v>355</v>
      </c>
      <c r="D23" s="21"/>
      <c r="E23" s="21"/>
      <c r="F23" s="21"/>
      <c r="G23" s="21"/>
      <c r="H23" s="21"/>
      <c r="I23" s="21"/>
    </row>
    <row r="24" spans="1:9" x14ac:dyDescent="0.25">
      <c r="A24" s="21">
        <v>8</v>
      </c>
      <c r="B24" s="3" t="s">
        <v>247</v>
      </c>
      <c r="C24" s="3" t="s">
        <v>248</v>
      </c>
      <c r="D24" s="21"/>
      <c r="E24" s="21"/>
      <c r="F24" s="21"/>
      <c r="G24" s="21"/>
      <c r="H24" s="21"/>
      <c r="I24" s="21"/>
    </row>
    <row r="25" spans="1:9" x14ac:dyDescent="0.25">
      <c r="A25" s="21">
        <v>9</v>
      </c>
      <c r="B25" s="3" t="s">
        <v>79</v>
      </c>
      <c r="C25" s="3" t="s">
        <v>248</v>
      </c>
      <c r="D25" s="21"/>
      <c r="E25" s="21"/>
      <c r="F25" s="21"/>
      <c r="G25" s="21"/>
      <c r="H25" s="21"/>
      <c r="I25" s="21"/>
    </row>
    <row r="26" spans="1:9" x14ac:dyDescent="0.25">
      <c r="A26" s="21">
        <v>10</v>
      </c>
      <c r="B26" s="3" t="s">
        <v>249</v>
      </c>
      <c r="C26" s="3" t="s">
        <v>238</v>
      </c>
      <c r="D26" s="21"/>
      <c r="E26" s="21"/>
      <c r="F26" s="21"/>
      <c r="G26" s="21"/>
      <c r="H26" s="21"/>
      <c r="I26" s="21"/>
    </row>
    <row r="27" spans="1:9" x14ac:dyDescent="0.25">
      <c r="A27" s="21"/>
      <c r="B27" s="484"/>
      <c r="C27" s="482"/>
      <c r="D27" s="482"/>
      <c r="E27" s="482"/>
      <c r="F27" s="482"/>
      <c r="G27" s="482"/>
      <c r="H27" s="482"/>
      <c r="I27" s="483"/>
    </row>
    <row r="28" spans="1:9" x14ac:dyDescent="0.25">
      <c r="A28" s="21"/>
      <c r="B28" s="123" t="s">
        <v>250</v>
      </c>
      <c r="C28" s="485"/>
      <c r="D28" s="486"/>
      <c r="E28" s="486"/>
      <c r="F28" s="486"/>
      <c r="G28" s="486"/>
      <c r="H28" s="486"/>
      <c r="I28" s="487"/>
    </row>
    <row r="29" spans="1:9" x14ac:dyDescent="0.25">
      <c r="A29" s="21"/>
      <c r="B29" s="123" t="s">
        <v>251</v>
      </c>
      <c r="C29" s="123" t="s">
        <v>236</v>
      </c>
      <c r="D29" s="484"/>
      <c r="E29" s="482"/>
      <c r="F29" s="482"/>
      <c r="G29" s="482"/>
      <c r="H29" s="482"/>
      <c r="I29" s="483"/>
    </row>
    <row r="30" spans="1:9" x14ac:dyDescent="0.25">
      <c r="A30" s="21">
        <v>11</v>
      </c>
      <c r="B30" s="3" t="s">
        <v>252</v>
      </c>
      <c r="C30" s="3" t="s">
        <v>253</v>
      </c>
      <c r="D30" s="21"/>
      <c r="E30" s="21"/>
      <c r="F30" s="21"/>
      <c r="G30" s="21"/>
      <c r="H30" s="21"/>
      <c r="I30" s="21"/>
    </row>
    <row r="31" spans="1:9" x14ac:dyDescent="0.25">
      <c r="A31" s="21">
        <v>12</v>
      </c>
      <c r="B31" s="3" t="s">
        <v>254</v>
      </c>
      <c r="C31" s="3" t="s">
        <v>253</v>
      </c>
      <c r="D31" s="21"/>
      <c r="E31" s="21"/>
      <c r="F31" s="21"/>
      <c r="G31" s="21"/>
      <c r="H31" s="21"/>
      <c r="I31" s="21"/>
    </row>
    <row r="32" spans="1:9" x14ac:dyDescent="0.25">
      <c r="A32" s="21">
        <v>13</v>
      </c>
      <c r="B32" s="3" t="s">
        <v>255</v>
      </c>
      <c r="C32" s="3" t="s">
        <v>256</v>
      </c>
      <c r="D32" s="21"/>
      <c r="E32" s="21"/>
      <c r="F32" s="21"/>
      <c r="G32" s="21"/>
      <c r="H32" s="21"/>
      <c r="I32" s="21"/>
    </row>
    <row r="33" spans="1:9" x14ac:dyDescent="0.25">
      <c r="A33" s="21">
        <v>14</v>
      </c>
      <c r="B33" s="3" t="s">
        <v>257</v>
      </c>
      <c r="C33" s="3" t="s">
        <v>258</v>
      </c>
      <c r="D33" s="21"/>
      <c r="E33" s="21"/>
      <c r="F33" s="21"/>
      <c r="G33" s="21"/>
      <c r="H33" s="21"/>
      <c r="I33" s="21"/>
    </row>
    <row r="34" spans="1:9" x14ac:dyDescent="0.25">
      <c r="A34" s="21">
        <v>15</v>
      </c>
      <c r="B34" s="3" t="s">
        <v>291</v>
      </c>
      <c r="C34" s="3" t="s">
        <v>292</v>
      </c>
      <c r="D34" s="21"/>
      <c r="E34" s="21"/>
      <c r="F34" s="21"/>
      <c r="G34" s="21"/>
      <c r="H34" s="21"/>
      <c r="I34" s="21"/>
    </row>
    <row r="35" spans="1:9" x14ac:dyDescent="0.25">
      <c r="A35" s="21">
        <v>16</v>
      </c>
      <c r="B35" s="3" t="s">
        <v>259</v>
      </c>
      <c r="C35" s="3" t="s">
        <v>260</v>
      </c>
      <c r="D35" s="21"/>
      <c r="E35" s="21"/>
      <c r="F35" s="21"/>
      <c r="G35" s="21"/>
      <c r="H35" s="21"/>
      <c r="I35" s="21"/>
    </row>
    <row r="36" spans="1:9" x14ac:dyDescent="0.25">
      <c r="A36" s="21">
        <v>17</v>
      </c>
      <c r="B36" s="3" t="s">
        <v>261</v>
      </c>
      <c r="C36" s="3" t="s">
        <v>262</v>
      </c>
      <c r="D36" s="21"/>
      <c r="E36" s="21"/>
      <c r="F36" s="21"/>
      <c r="G36" s="21"/>
      <c r="H36" s="21"/>
      <c r="I36" s="21"/>
    </row>
    <row r="37" spans="1:9" x14ac:dyDescent="0.25">
      <c r="A37" s="21">
        <v>18</v>
      </c>
      <c r="B37" s="3" t="s">
        <v>263</v>
      </c>
      <c r="C37" s="3" t="s">
        <v>262</v>
      </c>
      <c r="D37" s="21"/>
      <c r="E37" s="21"/>
      <c r="F37" s="21"/>
      <c r="G37" s="21"/>
      <c r="H37" s="21"/>
      <c r="I37" s="21"/>
    </row>
    <row r="38" spans="1:9" x14ac:dyDescent="0.25">
      <c r="A38" s="21">
        <v>19</v>
      </c>
      <c r="B38" s="3" t="s">
        <v>79</v>
      </c>
      <c r="C38" s="3" t="s">
        <v>238</v>
      </c>
      <c r="D38" s="21"/>
      <c r="E38" s="21"/>
      <c r="F38" s="21"/>
      <c r="G38" s="21"/>
      <c r="H38" s="21"/>
      <c r="I38" s="21"/>
    </row>
    <row r="39" spans="1:9" x14ac:dyDescent="0.25">
      <c r="A39" s="21"/>
      <c r="B39" s="484"/>
      <c r="C39" s="482"/>
      <c r="D39" s="482"/>
      <c r="E39" s="482"/>
      <c r="F39" s="482"/>
      <c r="G39" s="482"/>
      <c r="H39" s="482"/>
      <c r="I39" s="483"/>
    </row>
    <row r="40" spans="1:9" x14ac:dyDescent="0.25">
      <c r="A40" s="21"/>
      <c r="B40" s="123" t="s">
        <v>264</v>
      </c>
      <c r="C40" s="123" t="s">
        <v>236</v>
      </c>
      <c r="D40" s="484"/>
      <c r="E40" s="482"/>
      <c r="F40" s="482"/>
      <c r="G40" s="482"/>
      <c r="H40" s="482"/>
      <c r="I40" s="483"/>
    </row>
    <row r="41" spans="1:9" x14ac:dyDescent="0.25">
      <c r="A41" s="21">
        <v>20</v>
      </c>
      <c r="B41" s="3" t="s">
        <v>252</v>
      </c>
      <c r="C41" s="3" t="s">
        <v>253</v>
      </c>
      <c r="D41" s="21"/>
      <c r="E41" s="21"/>
      <c r="F41" s="21"/>
      <c r="G41" s="21"/>
      <c r="H41" s="21"/>
      <c r="I41" s="21"/>
    </row>
    <row r="42" spans="1:9" x14ac:dyDescent="0.25">
      <c r="A42" s="21">
        <v>21</v>
      </c>
      <c r="B42" s="3" t="s">
        <v>356</v>
      </c>
      <c r="C42" s="3" t="s">
        <v>253</v>
      </c>
      <c r="D42" s="21"/>
      <c r="E42" s="21"/>
      <c r="F42" s="21"/>
      <c r="G42" s="21"/>
      <c r="H42" s="21"/>
      <c r="I42" s="21"/>
    </row>
    <row r="43" spans="1:9" x14ac:dyDescent="0.25">
      <c r="A43" s="21">
        <v>22</v>
      </c>
      <c r="B43" s="3" t="s">
        <v>265</v>
      </c>
      <c r="C43" s="3" t="s">
        <v>253</v>
      </c>
      <c r="D43" s="21"/>
      <c r="E43" s="21"/>
      <c r="F43" s="21"/>
      <c r="G43" s="21"/>
      <c r="H43" s="21"/>
      <c r="I43" s="21"/>
    </row>
    <row r="44" spans="1:9" x14ac:dyDescent="0.25">
      <c r="A44" s="21">
        <v>23</v>
      </c>
      <c r="B44" s="3" t="s">
        <v>266</v>
      </c>
      <c r="C44" s="3" t="s">
        <v>262</v>
      </c>
      <c r="D44" s="21"/>
      <c r="E44" s="21"/>
      <c r="F44" s="21"/>
      <c r="G44" s="21"/>
      <c r="H44" s="21"/>
      <c r="I44" s="21"/>
    </row>
    <row r="45" spans="1:9" x14ac:dyDescent="0.25">
      <c r="A45" s="21"/>
      <c r="B45" s="484"/>
      <c r="C45" s="482"/>
      <c r="D45" s="482"/>
      <c r="E45" s="482"/>
      <c r="F45" s="482"/>
      <c r="G45" s="482"/>
      <c r="H45" s="482"/>
      <c r="I45" s="483"/>
    </row>
    <row r="46" spans="1:9" x14ac:dyDescent="0.25">
      <c r="A46" s="21"/>
      <c r="B46" s="123" t="s">
        <v>267</v>
      </c>
      <c r="C46" s="123" t="s">
        <v>236</v>
      </c>
      <c r="D46" s="484"/>
      <c r="E46" s="482"/>
      <c r="F46" s="482"/>
      <c r="G46" s="482"/>
      <c r="H46" s="482"/>
      <c r="I46" s="483"/>
    </row>
    <row r="47" spans="1:9" x14ac:dyDescent="0.25">
      <c r="A47" s="21">
        <v>24</v>
      </c>
      <c r="B47" s="3" t="s">
        <v>252</v>
      </c>
      <c r="C47" s="3" t="s">
        <v>253</v>
      </c>
      <c r="D47" s="21"/>
      <c r="E47" s="21"/>
      <c r="F47" s="21"/>
      <c r="G47" s="21"/>
      <c r="H47" s="21"/>
      <c r="I47" s="21"/>
    </row>
    <row r="48" spans="1:9" x14ac:dyDescent="0.25">
      <c r="A48" s="21">
        <v>25</v>
      </c>
      <c r="B48" s="3" t="s">
        <v>268</v>
      </c>
      <c r="C48" s="3" t="s">
        <v>253</v>
      </c>
      <c r="D48" s="21"/>
      <c r="E48" s="21"/>
      <c r="F48" s="21"/>
      <c r="G48" s="21"/>
      <c r="H48" s="21"/>
      <c r="I48" s="21"/>
    </row>
    <row r="49" spans="1:9" x14ac:dyDescent="0.25">
      <c r="A49" s="21">
        <v>26</v>
      </c>
      <c r="B49" s="3" t="s">
        <v>269</v>
      </c>
      <c r="C49" s="3" t="s">
        <v>253</v>
      </c>
      <c r="D49" s="21"/>
      <c r="E49" s="21"/>
      <c r="F49" s="21"/>
      <c r="G49" s="21"/>
      <c r="H49" s="21"/>
      <c r="I49" s="21"/>
    </row>
    <row r="50" spans="1:9" x14ac:dyDescent="0.25">
      <c r="A50" s="21">
        <v>27</v>
      </c>
      <c r="B50" s="3" t="s">
        <v>265</v>
      </c>
      <c r="C50" s="3" t="s">
        <v>253</v>
      </c>
      <c r="D50" s="21"/>
      <c r="E50" s="21"/>
      <c r="F50" s="21"/>
      <c r="G50" s="21"/>
      <c r="H50" s="21"/>
      <c r="I50" s="21"/>
    </row>
    <row r="51" spans="1:9" x14ac:dyDescent="0.25">
      <c r="A51" s="21">
        <v>28</v>
      </c>
      <c r="B51" s="3" t="s">
        <v>270</v>
      </c>
      <c r="C51" s="3" t="s">
        <v>262</v>
      </c>
      <c r="D51" s="21"/>
      <c r="E51" s="21"/>
      <c r="F51" s="21"/>
      <c r="G51" s="21"/>
      <c r="H51" s="21"/>
      <c r="I51" s="21"/>
    </row>
    <row r="52" spans="1:9" x14ac:dyDescent="0.25">
      <c r="A52" s="21">
        <v>29</v>
      </c>
      <c r="B52" s="3" t="s">
        <v>271</v>
      </c>
      <c r="C52" s="3" t="s">
        <v>260</v>
      </c>
      <c r="D52" s="21"/>
      <c r="E52" s="21"/>
      <c r="F52" s="21"/>
      <c r="G52" s="21"/>
      <c r="H52" s="21"/>
      <c r="I52" s="21"/>
    </row>
    <row r="53" spans="1:9" x14ac:dyDescent="0.25">
      <c r="A53" s="21">
        <v>30</v>
      </c>
      <c r="B53" s="3" t="s">
        <v>79</v>
      </c>
      <c r="C53" s="3" t="s">
        <v>272</v>
      </c>
      <c r="D53" s="21"/>
      <c r="E53" s="21"/>
      <c r="F53" s="21"/>
      <c r="G53" s="21"/>
      <c r="H53" s="21"/>
      <c r="I53" s="21"/>
    </row>
    <row r="54" spans="1:9" x14ac:dyDescent="0.25">
      <c r="A54" s="21"/>
      <c r="B54" s="484"/>
      <c r="C54" s="482"/>
      <c r="D54" s="482"/>
      <c r="E54" s="482"/>
      <c r="F54" s="482"/>
      <c r="G54" s="482"/>
      <c r="H54" s="482"/>
      <c r="I54" s="483"/>
    </row>
    <row r="55" spans="1:9" x14ac:dyDescent="0.25">
      <c r="A55" s="21"/>
      <c r="B55" s="123" t="s">
        <v>273</v>
      </c>
      <c r="C55" s="123" t="s">
        <v>236</v>
      </c>
      <c r="D55" s="484"/>
      <c r="E55" s="482"/>
      <c r="F55" s="482"/>
      <c r="G55" s="482"/>
      <c r="H55" s="482"/>
      <c r="I55" s="483"/>
    </row>
    <row r="56" spans="1:9" x14ac:dyDescent="0.25">
      <c r="A56" s="21">
        <v>31</v>
      </c>
      <c r="B56" s="3" t="s">
        <v>252</v>
      </c>
      <c r="C56" s="3" t="s">
        <v>253</v>
      </c>
      <c r="D56" s="21"/>
      <c r="E56" s="21"/>
      <c r="F56" s="21"/>
      <c r="G56" s="21"/>
      <c r="H56" s="21"/>
      <c r="I56" s="21"/>
    </row>
    <row r="57" spans="1:9" x14ac:dyDescent="0.25">
      <c r="A57" s="21">
        <v>32</v>
      </c>
      <c r="B57" s="3" t="s">
        <v>268</v>
      </c>
      <c r="C57" s="3" t="s">
        <v>253</v>
      </c>
      <c r="D57" s="21"/>
      <c r="E57" s="21"/>
      <c r="F57" s="21"/>
      <c r="G57" s="21"/>
      <c r="H57" s="21"/>
      <c r="I57" s="21"/>
    </row>
    <row r="58" spans="1:9" x14ac:dyDescent="0.25">
      <c r="A58" s="21">
        <v>33</v>
      </c>
      <c r="B58" s="3" t="s">
        <v>265</v>
      </c>
      <c r="C58" s="3" t="s">
        <v>253</v>
      </c>
      <c r="D58" s="21"/>
      <c r="E58" s="21"/>
      <c r="F58" s="21"/>
      <c r="G58" s="21"/>
      <c r="H58" s="21"/>
      <c r="I58" s="21"/>
    </row>
    <row r="59" spans="1:9" x14ac:dyDescent="0.25">
      <c r="A59" s="21">
        <v>34</v>
      </c>
      <c r="B59" s="3" t="s">
        <v>259</v>
      </c>
      <c r="C59" s="3" t="s">
        <v>260</v>
      </c>
      <c r="D59" s="21"/>
      <c r="E59" s="21"/>
      <c r="F59" s="21"/>
      <c r="G59" s="21"/>
      <c r="H59" s="21"/>
      <c r="I59" s="21"/>
    </row>
    <row r="60" spans="1:9" x14ac:dyDescent="0.25">
      <c r="A60" s="21">
        <v>35</v>
      </c>
      <c r="B60" s="3" t="s">
        <v>274</v>
      </c>
      <c r="C60" s="3" t="s">
        <v>275</v>
      </c>
      <c r="D60" s="21"/>
      <c r="E60" s="21"/>
      <c r="F60" s="21"/>
      <c r="G60" s="21"/>
      <c r="H60" s="21"/>
      <c r="I60" s="21"/>
    </row>
    <row r="61" spans="1:9" x14ac:dyDescent="0.25">
      <c r="A61" s="21">
        <v>36</v>
      </c>
      <c r="B61" s="3" t="s">
        <v>276</v>
      </c>
      <c r="C61" s="3" t="s">
        <v>262</v>
      </c>
      <c r="D61" s="21"/>
      <c r="E61" s="21"/>
      <c r="F61" s="21"/>
      <c r="G61" s="21"/>
      <c r="H61" s="21"/>
      <c r="I61" s="21"/>
    </row>
    <row r="62" spans="1:9" x14ac:dyDescent="0.25">
      <c r="A62" s="21">
        <v>37</v>
      </c>
      <c r="B62" s="3" t="s">
        <v>277</v>
      </c>
      <c r="C62" s="3" t="s">
        <v>262</v>
      </c>
      <c r="D62" s="21"/>
      <c r="E62" s="21"/>
      <c r="F62" s="21"/>
      <c r="G62" s="21"/>
      <c r="H62" s="21"/>
      <c r="I62" s="21"/>
    </row>
    <row r="63" spans="1:9" x14ac:dyDescent="0.25">
      <c r="A63" s="21">
        <v>38</v>
      </c>
      <c r="B63" s="3" t="s">
        <v>271</v>
      </c>
      <c r="C63" s="3" t="s">
        <v>260</v>
      </c>
      <c r="D63" s="21"/>
      <c r="E63" s="21"/>
      <c r="F63" s="21"/>
      <c r="G63" s="21"/>
      <c r="H63" s="21"/>
      <c r="I63" s="21"/>
    </row>
    <row r="64" spans="1:9" x14ac:dyDescent="0.25">
      <c r="A64" s="21">
        <v>39</v>
      </c>
      <c r="B64" s="3" t="s">
        <v>79</v>
      </c>
      <c r="C64" s="3" t="s">
        <v>272</v>
      </c>
      <c r="D64" s="21"/>
      <c r="E64" s="21"/>
      <c r="F64" s="21"/>
      <c r="G64" s="21"/>
      <c r="H64" s="21"/>
      <c r="I64" s="21"/>
    </row>
    <row r="65" spans="1:9" x14ac:dyDescent="0.25">
      <c r="A65" s="21"/>
      <c r="B65" s="484"/>
      <c r="C65" s="482"/>
      <c r="D65" s="482"/>
      <c r="E65" s="482"/>
      <c r="F65" s="482"/>
      <c r="G65" s="482"/>
      <c r="H65" s="482"/>
      <c r="I65" s="483"/>
    </row>
    <row r="66" spans="1:9" x14ac:dyDescent="0.25">
      <c r="A66" s="21"/>
      <c r="B66" s="230" t="s">
        <v>35</v>
      </c>
      <c r="C66" s="123" t="s">
        <v>236</v>
      </c>
      <c r="D66" s="484"/>
      <c r="E66" s="482"/>
      <c r="F66" s="482"/>
      <c r="G66" s="482"/>
      <c r="H66" s="482"/>
      <c r="I66" s="483"/>
    </row>
    <row r="67" spans="1:9" x14ac:dyDescent="0.25">
      <c r="A67" s="21">
        <v>40</v>
      </c>
      <c r="B67" s="3" t="s">
        <v>274</v>
      </c>
      <c r="C67" s="3" t="s">
        <v>278</v>
      </c>
      <c r="D67" s="21"/>
      <c r="E67" s="21"/>
      <c r="F67" s="21"/>
      <c r="G67" s="21"/>
      <c r="H67" s="21"/>
      <c r="I67" s="21"/>
    </row>
    <row r="68" spans="1:9" x14ac:dyDescent="0.25">
      <c r="A68" s="21">
        <v>41</v>
      </c>
      <c r="B68" s="3" t="s">
        <v>276</v>
      </c>
      <c r="C68" s="3" t="s">
        <v>279</v>
      </c>
      <c r="D68" s="21"/>
      <c r="E68" s="21"/>
      <c r="F68" s="21"/>
      <c r="G68" s="21"/>
      <c r="H68" s="21"/>
      <c r="I68" s="21"/>
    </row>
    <row r="69" spans="1:9" x14ac:dyDescent="0.25">
      <c r="A69" s="21">
        <v>42</v>
      </c>
      <c r="B69" s="3" t="s">
        <v>252</v>
      </c>
      <c r="C69" s="3" t="s">
        <v>253</v>
      </c>
      <c r="D69" s="21"/>
      <c r="E69" s="21"/>
      <c r="F69" s="21"/>
      <c r="G69" s="21"/>
      <c r="H69" s="21"/>
      <c r="I69" s="21"/>
    </row>
    <row r="70" spans="1:9" x14ac:dyDescent="0.25">
      <c r="A70" s="21">
        <v>43</v>
      </c>
      <c r="B70" s="3" t="s">
        <v>268</v>
      </c>
      <c r="C70" s="3" t="s">
        <v>253</v>
      </c>
      <c r="D70" s="21"/>
      <c r="E70" s="21"/>
      <c r="F70" s="21"/>
      <c r="G70" s="21"/>
      <c r="H70" s="21"/>
      <c r="I70" s="21"/>
    </row>
    <row r="71" spans="1:9" x14ac:dyDescent="0.25">
      <c r="A71" s="21">
        <v>44</v>
      </c>
      <c r="B71" s="3" t="s">
        <v>265</v>
      </c>
      <c r="C71" s="3" t="s">
        <v>253</v>
      </c>
      <c r="D71" s="21"/>
      <c r="E71" s="21"/>
      <c r="F71" s="21"/>
      <c r="G71" s="21"/>
      <c r="H71" s="21"/>
      <c r="I71" s="21"/>
    </row>
    <row r="72" spans="1:9" x14ac:dyDescent="0.25">
      <c r="A72" s="21">
        <v>45</v>
      </c>
      <c r="B72" s="3" t="s">
        <v>357</v>
      </c>
      <c r="C72" s="3" t="s">
        <v>280</v>
      </c>
      <c r="D72" s="21"/>
      <c r="E72" s="21"/>
      <c r="F72" s="21"/>
      <c r="G72" s="21"/>
      <c r="H72" s="21"/>
      <c r="I72" s="21"/>
    </row>
    <row r="73" spans="1:9" x14ac:dyDescent="0.25">
      <c r="A73" s="21">
        <v>46</v>
      </c>
      <c r="B73" s="3" t="s">
        <v>261</v>
      </c>
      <c r="C73" s="3" t="s">
        <v>262</v>
      </c>
      <c r="D73" s="21"/>
      <c r="E73" s="21"/>
      <c r="F73" s="21"/>
      <c r="G73" s="21"/>
      <c r="H73" s="21"/>
      <c r="I73" s="21"/>
    </row>
    <row r="74" spans="1:9" x14ac:dyDescent="0.25">
      <c r="A74" s="21">
        <v>47</v>
      </c>
      <c r="B74" s="3" t="s">
        <v>263</v>
      </c>
      <c r="C74" s="3" t="s">
        <v>262</v>
      </c>
      <c r="D74" s="21"/>
      <c r="E74" s="21"/>
      <c r="F74" s="21"/>
      <c r="G74" s="21"/>
      <c r="H74" s="21"/>
      <c r="I74" s="21"/>
    </row>
    <row r="75" spans="1:9" x14ac:dyDescent="0.25">
      <c r="A75" s="21"/>
      <c r="B75" s="482"/>
      <c r="C75" s="482"/>
      <c r="D75" s="482"/>
      <c r="E75" s="482"/>
      <c r="F75" s="482"/>
      <c r="G75" s="482"/>
      <c r="H75" s="482"/>
      <c r="I75" s="483"/>
    </row>
    <row r="76" spans="1:9" x14ac:dyDescent="0.25">
      <c r="A76" s="21"/>
      <c r="B76" s="230" t="s">
        <v>281</v>
      </c>
      <c r="C76" s="123" t="s">
        <v>236</v>
      </c>
      <c r="D76" s="484"/>
      <c r="E76" s="482"/>
      <c r="F76" s="482"/>
      <c r="G76" s="482"/>
      <c r="H76" s="482"/>
      <c r="I76" s="483"/>
    </row>
    <row r="77" spans="1:9" x14ac:dyDescent="0.25">
      <c r="A77" s="21">
        <v>48</v>
      </c>
      <c r="B77" s="3" t="s">
        <v>282</v>
      </c>
      <c r="C77" s="3" t="s">
        <v>283</v>
      </c>
      <c r="D77" s="21"/>
      <c r="E77" s="21"/>
      <c r="F77" s="21"/>
      <c r="G77" s="21"/>
      <c r="H77" s="21"/>
      <c r="I77" s="21"/>
    </row>
    <row r="78" spans="1:9" x14ac:dyDescent="0.25">
      <c r="A78" s="21">
        <v>49</v>
      </c>
      <c r="B78" s="3" t="s">
        <v>346</v>
      </c>
      <c r="C78" s="3" t="s">
        <v>283</v>
      </c>
      <c r="D78" s="21"/>
      <c r="E78" s="21"/>
      <c r="F78" s="21"/>
      <c r="G78" s="21"/>
      <c r="H78" s="21"/>
      <c r="I78" s="21"/>
    </row>
    <row r="79" spans="1:9" x14ac:dyDescent="0.25">
      <c r="A79" s="21">
        <v>50</v>
      </c>
      <c r="B79" s="3" t="s">
        <v>347</v>
      </c>
      <c r="C79" s="3" t="s">
        <v>285</v>
      </c>
      <c r="D79" s="21"/>
      <c r="E79" s="21"/>
      <c r="F79" s="21"/>
      <c r="G79" s="21"/>
      <c r="H79" s="21"/>
      <c r="I79" s="21"/>
    </row>
    <row r="80" spans="1:9" x14ac:dyDescent="0.25">
      <c r="A80" s="21">
        <v>51</v>
      </c>
      <c r="B80" s="3" t="s">
        <v>284</v>
      </c>
      <c r="C80" s="3" t="s">
        <v>285</v>
      </c>
      <c r="D80" s="21"/>
      <c r="E80" s="21"/>
      <c r="F80" s="21"/>
      <c r="G80" s="21"/>
      <c r="H80" s="21"/>
      <c r="I80" s="21"/>
    </row>
    <row r="81" spans="1:9" x14ac:dyDescent="0.25">
      <c r="A81" s="21">
        <v>52</v>
      </c>
      <c r="B81" s="3" t="s">
        <v>286</v>
      </c>
      <c r="C81" s="3" t="s">
        <v>287</v>
      </c>
      <c r="D81" s="21"/>
      <c r="E81" s="21"/>
      <c r="F81" s="21"/>
      <c r="G81" s="21"/>
      <c r="H81" s="21"/>
      <c r="I81" s="21"/>
    </row>
    <row r="82" spans="1:9" x14ac:dyDescent="0.25">
      <c r="A82" s="21">
        <v>53</v>
      </c>
      <c r="B82" s="3" t="s">
        <v>288</v>
      </c>
      <c r="C82" s="3" t="s">
        <v>289</v>
      </c>
      <c r="D82" s="21"/>
      <c r="E82" s="21"/>
      <c r="F82" s="21"/>
      <c r="G82" s="21"/>
      <c r="H82" s="21"/>
      <c r="I82" s="21"/>
    </row>
    <row r="83" spans="1:9" x14ac:dyDescent="0.25">
      <c r="A83" s="21">
        <v>54</v>
      </c>
      <c r="B83" s="3" t="s">
        <v>290</v>
      </c>
      <c r="C83" s="3" t="s">
        <v>283</v>
      </c>
      <c r="D83" s="21"/>
      <c r="E83" s="21"/>
      <c r="F83" s="21"/>
      <c r="G83" s="21"/>
      <c r="H83" s="21"/>
      <c r="I83" s="21"/>
    </row>
    <row r="84" spans="1:9" x14ac:dyDescent="0.25">
      <c r="A84" s="21">
        <v>55</v>
      </c>
      <c r="B84" s="3" t="s">
        <v>359</v>
      </c>
      <c r="C84" s="3" t="s">
        <v>283</v>
      </c>
      <c r="D84" s="21"/>
      <c r="E84" s="21"/>
      <c r="F84" s="21"/>
      <c r="G84" s="21"/>
      <c r="H84" s="21"/>
      <c r="I84" s="21"/>
    </row>
    <row r="85" spans="1:9" ht="15.75" thickBot="1" x14ac:dyDescent="0.3"/>
    <row r="86" spans="1:9" ht="15.75" thickBot="1" x14ac:dyDescent="0.3">
      <c r="C86" s="229" t="s">
        <v>358</v>
      </c>
      <c r="D86" s="231"/>
      <c r="E86" s="82"/>
      <c r="F86" s="231"/>
      <c r="G86" s="82"/>
      <c r="H86" s="231"/>
    </row>
  </sheetData>
  <mergeCells count="32">
    <mergeCell ref="B1:I1"/>
    <mergeCell ref="B7:I7"/>
    <mergeCell ref="B8:I8"/>
    <mergeCell ref="B9:I9"/>
    <mergeCell ref="B2:I2"/>
    <mergeCell ref="B3:I3"/>
    <mergeCell ref="B4:I4"/>
    <mergeCell ref="B5:I5"/>
    <mergeCell ref="B6:I6"/>
    <mergeCell ref="D66:I66"/>
    <mergeCell ref="B11:I11"/>
    <mergeCell ref="B12:C12"/>
    <mergeCell ref="D12:E12"/>
    <mergeCell ref="F12:G12"/>
    <mergeCell ref="H12:I12"/>
    <mergeCell ref="B65:I65"/>
    <mergeCell ref="B10:I10"/>
    <mergeCell ref="B75:I75"/>
    <mergeCell ref="D76:I76"/>
    <mergeCell ref="B54:I54"/>
    <mergeCell ref="B13:C13"/>
    <mergeCell ref="B19:I19"/>
    <mergeCell ref="B27:I27"/>
    <mergeCell ref="C28:I28"/>
    <mergeCell ref="B39:I39"/>
    <mergeCell ref="D40:I40"/>
    <mergeCell ref="D14:I14"/>
    <mergeCell ref="D20:I20"/>
    <mergeCell ref="D29:I29"/>
    <mergeCell ref="B45:I45"/>
    <mergeCell ref="D46:I46"/>
    <mergeCell ref="D55:I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AD814-C3E4-4015-9D6B-F5E8A589764A}">
  <sheetPr>
    <tabColor rgb="FF92D050"/>
  </sheetPr>
  <dimension ref="A1:H70"/>
  <sheetViews>
    <sheetView zoomScaleNormal="100" workbookViewId="0">
      <selection activeCell="K35" sqref="K35"/>
    </sheetView>
  </sheetViews>
  <sheetFormatPr defaultRowHeight="15" x14ac:dyDescent="0.25"/>
  <cols>
    <col min="1" max="1" width="11.85546875" customWidth="1"/>
    <col min="2" max="2" width="12.28515625" customWidth="1"/>
    <col min="3" max="3" width="11.5703125" customWidth="1"/>
    <col min="8" max="8" width="11.140625" customWidth="1"/>
  </cols>
  <sheetData>
    <row r="1" spans="1:8" ht="15.75" thickBot="1" x14ac:dyDescent="0.3">
      <c r="A1" s="466" t="s">
        <v>63</v>
      </c>
      <c r="B1" s="467"/>
      <c r="C1" s="467"/>
      <c r="D1" s="467"/>
      <c r="E1" s="467"/>
      <c r="F1" s="467"/>
      <c r="G1" s="467"/>
      <c r="H1" s="468"/>
    </row>
    <row r="2" spans="1:8" x14ac:dyDescent="0.25">
      <c r="A2" s="554" t="s">
        <v>163</v>
      </c>
      <c r="B2" s="555"/>
      <c r="C2" s="555"/>
      <c r="D2" s="555"/>
      <c r="E2" s="555"/>
      <c r="F2" s="555"/>
      <c r="G2" s="555"/>
      <c r="H2" s="556"/>
    </row>
    <row r="3" spans="1:8" x14ac:dyDescent="0.25">
      <c r="A3" s="563" t="s">
        <v>159</v>
      </c>
      <c r="B3" s="564"/>
      <c r="C3" s="564"/>
      <c r="D3" s="564"/>
      <c r="E3" s="564"/>
      <c r="F3" s="564"/>
      <c r="G3" s="564"/>
      <c r="H3" s="565"/>
    </row>
    <row r="4" spans="1:8" ht="15.75" thickBot="1" x14ac:dyDescent="0.3">
      <c r="A4" s="551" t="s">
        <v>160</v>
      </c>
      <c r="B4" s="552"/>
      <c r="C4" s="552"/>
      <c r="D4" s="552"/>
      <c r="E4" s="552"/>
      <c r="F4" s="552"/>
      <c r="G4" s="552"/>
      <c r="H4" s="553"/>
    </row>
    <row r="5" spans="1:8" ht="15.75" thickBot="1" x14ac:dyDescent="0.3">
      <c r="A5" s="492"/>
      <c r="B5" s="492"/>
      <c r="C5" s="492"/>
      <c r="D5" s="492"/>
      <c r="E5" s="492"/>
      <c r="F5" s="492"/>
      <c r="G5" s="492"/>
      <c r="H5" s="492"/>
    </row>
    <row r="6" spans="1:8" ht="15.75" thickBot="1" x14ac:dyDescent="0.3">
      <c r="A6" s="41" t="s">
        <v>64</v>
      </c>
    </row>
    <row r="7" spans="1:8" x14ac:dyDescent="0.25">
      <c r="A7" s="557" t="s">
        <v>65</v>
      </c>
      <c r="B7" s="558"/>
      <c r="C7" s="558"/>
      <c r="D7" s="558"/>
      <c r="E7" s="558"/>
      <c r="F7" s="558"/>
      <c r="G7" s="559"/>
    </row>
    <row r="8" spans="1:8" x14ac:dyDescent="0.25">
      <c r="A8" s="507" t="s">
        <v>66</v>
      </c>
      <c r="B8" s="508"/>
      <c r="C8" s="508"/>
      <c r="D8" s="508"/>
      <c r="E8" s="508"/>
      <c r="F8" s="508"/>
      <c r="G8" s="509"/>
    </row>
    <row r="9" spans="1:8" x14ac:dyDescent="0.25">
      <c r="A9" s="560" t="s">
        <v>67</v>
      </c>
      <c r="B9" s="561"/>
      <c r="C9" s="561"/>
      <c r="D9" s="561"/>
      <c r="E9" s="561"/>
      <c r="F9" s="561"/>
      <c r="G9" s="562"/>
    </row>
    <row r="10" spans="1:8" x14ac:dyDescent="0.25">
      <c r="A10" s="560" t="s">
        <v>360</v>
      </c>
      <c r="B10" s="561"/>
      <c r="C10" s="561"/>
      <c r="D10" s="561"/>
      <c r="E10" s="561"/>
      <c r="F10" s="561"/>
      <c r="G10" s="562"/>
    </row>
    <row r="11" spans="1:8" x14ac:dyDescent="0.25">
      <c r="A11" s="42" t="s">
        <v>20</v>
      </c>
      <c r="B11" s="23" t="s">
        <v>68</v>
      </c>
      <c r="C11" s="23">
        <v>2022</v>
      </c>
      <c r="D11" s="23" t="s">
        <v>69</v>
      </c>
      <c r="E11" s="23">
        <v>2021</v>
      </c>
      <c r="F11" s="23" t="s">
        <v>69</v>
      </c>
      <c r="G11" s="43">
        <v>2020</v>
      </c>
    </row>
    <row r="12" spans="1:8" x14ac:dyDescent="0.25">
      <c r="A12" s="42"/>
      <c r="B12" s="23"/>
      <c r="C12" s="23" t="s">
        <v>70</v>
      </c>
      <c r="D12" s="23" t="s">
        <v>71</v>
      </c>
      <c r="E12" s="23" t="s">
        <v>70</v>
      </c>
      <c r="F12" s="23" t="s">
        <v>71</v>
      </c>
      <c r="G12" s="43" t="s">
        <v>70</v>
      </c>
    </row>
    <row r="13" spans="1:8" x14ac:dyDescent="0.25">
      <c r="A13" s="44" t="s">
        <v>72</v>
      </c>
      <c r="B13" s="20" t="s">
        <v>73</v>
      </c>
      <c r="C13" s="49">
        <v>1.417824074074074E-3</v>
      </c>
      <c r="D13" s="48">
        <f>(E13-C13)/E13</f>
        <v>2.2580387776270878E-2</v>
      </c>
      <c r="E13" s="49">
        <v>1.4505787037037039E-3</v>
      </c>
      <c r="F13" s="48">
        <f>(G13-E13)/G13</f>
        <v>3.5923076923076641E-2</v>
      </c>
      <c r="G13" s="53">
        <v>1.5046296296296294E-3</v>
      </c>
    </row>
    <row r="14" spans="1:8" x14ac:dyDescent="0.25">
      <c r="A14" s="45"/>
      <c r="B14" s="78"/>
      <c r="C14" s="50"/>
      <c r="D14" s="48" t="e">
        <f t="shared" ref="D14:D23" si="0">(E14-C14)/E14</f>
        <v>#DIV/0!</v>
      </c>
      <c r="E14" s="50"/>
      <c r="F14" s="48" t="e">
        <f t="shared" ref="F14:F23" si="1">(G14-E14)/G14</f>
        <v>#DIV/0!</v>
      </c>
      <c r="G14" s="54"/>
    </row>
    <row r="15" spans="1:8" x14ac:dyDescent="0.25">
      <c r="A15" s="45"/>
      <c r="B15" s="78"/>
      <c r="C15" s="51"/>
      <c r="D15" s="48" t="e">
        <f t="shared" si="0"/>
        <v>#DIV/0!</v>
      </c>
      <c r="E15" s="51"/>
      <c r="F15" s="48" t="e">
        <f t="shared" si="1"/>
        <v>#DIV/0!</v>
      </c>
      <c r="G15" s="55"/>
    </row>
    <row r="16" spans="1:8" x14ac:dyDescent="0.25">
      <c r="A16" s="45"/>
      <c r="B16" s="78"/>
      <c r="C16" s="51"/>
      <c r="D16" s="48" t="e">
        <f t="shared" si="0"/>
        <v>#DIV/0!</v>
      </c>
      <c r="E16" s="51"/>
      <c r="F16" s="48" t="e">
        <f t="shared" si="1"/>
        <v>#DIV/0!</v>
      </c>
      <c r="G16" s="55"/>
    </row>
    <row r="17" spans="1:8" x14ac:dyDescent="0.25">
      <c r="A17" s="45"/>
      <c r="B17" s="78"/>
      <c r="C17" s="51"/>
      <c r="D17" s="48" t="e">
        <f t="shared" si="0"/>
        <v>#DIV/0!</v>
      </c>
      <c r="E17" s="51"/>
      <c r="F17" s="48" t="e">
        <f t="shared" si="1"/>
        <v>#DIV/0!</v>
      </c>
      <c r="G17" s="55"/>
    </row>
    <row r="18" spans="1:8" x14ac:dyDescent="0.25">
      <c r="A18" s="45"/>
      <c r="B18" s="78"/>
      <c r="C18" s="51"/>
      <c r="D18" s="48" t="e">
        <f t="shared" si="0"/>
        <v>#DIV/0!</v>
      </c>
      <c r="E18" s="51"/>
      <c r="F18" s="48" t="e">
        <f t="shared" si="1"/>
        <v>#DIV/0!</v>
      </c>
      <c r="G18" s="55"/>
    </row>
    <row r="19" spans="1:8" x14ac:dyDescent="0.25">
      <c r="A19" s="45"/>
      <c r="B19" s="78"/>
      <c r="C19" s="51"/>
      <c r="D19" s="48" t="e">
        <f t="shared" si="0"/>
        <v>#DIV/0!</v>
      </c>
      <c r="E19" s="51"/>
      <c r="F19" s="48" t="e">
        <f t="shared" si="1"/>
        <v>#DIV/0!</v>
      </c>
      <c r="G19" s="55"/>
    </row>
    <row r="20" spans="1:8" x14ac:dyDescent="0.25">
      <c r="A20" s="45"/>
      <c r="B20" s="78"/>
      <c r="C20" s="51"/>
      <c r="D20" s="48" t="e">
        <f t="shared" si="0"/>
        <v>#DIV/0!</v>
      </c>
      <c r="E20" s="51"/>
      <c r="F20" s="48" t="e">
        <f t="shared" si="1"/>
        <v>#DIV/0!</v>
      </c>
      <c r="G20" s="55"/>
    </row>
    <row r="21" spans="1:8" x14ac:dyDescent="0.25">
      <c r="A21" s="45"/>
      <c r="B21" s="78"/>
      <c r="C21" s="51"/>
      <c r="D21" s="48" t="e">
        <f t="shared" si="0"/>
        <v>#DIV/0!</v>
      </c>
      <c r="E21" s="51"/>
      <c r="F21" s="48" t="e">
        <f t="shared" si="1"/>
        <v>#DIV/0!</v>
      </c>
      <c r="G21" s="55"/>
    </row>
    <row r="22" spans="1:8" x14ac:dyDescent="0.25">
      <c r="A22" s="45"/>
      <c r="B22" s="78"/>
      <c r="C22" s="51"/>
      <c r="D22" s="48" t="e">
        <f t="shared" si="0"/>
        <v>#DIV/0!</v>
      </c>
      <c r="E22" s="51"/>
      <c r="F22" s="48" t="e">
        <f t="shared" si="1"/>
        <v>#DIV/0!</v>
      </c>
      <c r="G22" s="55"/>
    </row>
    <row r="23" spans="1:8" ht="15.75" thickBot="1" x14ac:dyDescent="0.3">
      <c r="A23" s="46"/>
      <c r="B23" s="47"/>
      <c r="C23" s="52"/>
      <c r="D23" s="48" t="e">
        <f t="shared" si="0"/>
        <v>#DIV/0!</v>
      </c>
      <c r="E23" s="52"/>
      <c r="F23" s="48" t="e">
        <f t="shared" si="1"/>
        <v>#DIV/0!</v>
      </c>
      <c r="G23" s="56"/>
    </row>
    <row r="24" spans="1:8" ht="15.75" thickBot="1" x14ac:dyDescent="0.3">
      <c r="A24" s="321"/>
      <c r="B24" s="321"/>
      <c r="C24" s="321"/>
      <c r="D24" s="321"/>
      <c r="E24" s="321"/>
      <c r="F24" s="321"/>
      <c r="G24" s="321"/>
      <c r="H24" s="321"/>
    </row>
    <row r="25" spans="1:8" ht="15.75" thickBot="1" x14ac:dyDescent="0.3">
      <c r="A25" s="9" t="s">
        <v>74</v>
      </c>
      <c r="B25" s="492"/>
      <c r="C25" s="492"/>
      <c r="D25" s="492"/>
      <c r="E25" s="492"/>
      <c r="F25" s="492"/>
      <c r="G25" s="492"/>
      <c r="H25" s="492"/>
    </row>
    <row r="26" spans="1:8" ht="15.75" thickBot="1" x14ac:dyDescent="0.3">
      <c r="A26" s="531" t="s">
        <v>161</v>
      </c>
      <c r="B26" s="532"/>
      <c r="C26" s="532"/>
      <c r="D26" s="532"/>
      <c r="E26" s="532"/>
      <c r="F26" s="532"/>
      <c r="G26" s="532"/>
      <c r="H26" s="533"/>
    </row>
    <row r="27" spans="1:8" ht="15.75" thickBot="1" x14ac:dyDescent="0.3">
      <c r="A27" s="531" t="s">
        <v>405</v>
      </c>
      <c r="B27" s="532"/>
      <c r="C27" s="532"/>
      <c r="D27" s="532"/>
      <c r="E27" s="532"/>
      <c r="F27" s="532"/>
      <c r="G27" s="532"/>
      <c r="H27" s="533"/>
    </row>
    <row r="28" spans="1:8" x14ac:dyDescent="0.25">
      <c r="A28" s="550"/>
      <c r="B28" s="513"/>
      <c r="C28" s="513"/>
      <c r="D28" s="513"/>
      <c r="E28" s="513"/>
      <c r="F28" s="513"/>
      <c r="G28" s="513"/>
      <c r="H28" s="514"/>
    </row>
    <row r="29" spans="1:8" x14ac:dyDescent="0.25">
      <c r="A29" s="320"/>
      <c r="B29" s="309"/>
      <c r="C29" s="309"/>
      <c r="D29" s="309"/>
      <c r="E29" s="309"/>
      <c r="F29" s="309"/>
      <c r="G29" s="309"/>
      <c r="H29" s="310"/>
    </row>
    <row r="30" spans="1:8" x14ac:dyDescent="0.25">
      <c r="A30" s="320"/>
      <c r="B30" s="309"/>
      <c r="C30" s="309"/>
      <c r="D30" s="309"/>
      <c r="E30" s="309"/>
      <c r="F30" s="309"/>
      <c r="G30" s="309"/>
      <c r="H30" s="310"/>
    </row>
    <row r="31" spans="1:8" x14ac:dyDescent="0.25">
      <c r="A31" s="320"/>
      <c r="B31" s="309"/>
      <c r="C31" s="309"/>
      <c r="D31" s="309"/>
      <c r="E31" s="309"/>
      <c r="F31" s="309"/>
      <c r="G31" s="309"/>
      <c r="H31" s="310"/>
    </row>
    <row r="32" spans="1:8" ht="15.75" thickBot="1" x14ac:dyDescent="0.3">
      <c r="A32" s="354"/>
      <c r="B32" s="345"/>
      <c r="C32" s="345"/>
      <c r="D32" s="345"/>
      <c r="E32" s="345"/>
      <c r="F32" s="345"/>
      <c r="G32" s="345"/>
      <c r="H32" s="346"/>
    </row>
    <row r="33" spans="1:8" ht="15.75" thickBot="1" x14ac:dyDescent="0.3">
      <c r="A33" s="531" t="s">
        <v>406</v>
      </c>
      <c r="B33" s="532"/>
      <c r="C33" s="532"/>
      <c r="D33" s="532"/>
      <c r="E33" s="532"/>
      <c r="F33" s="532"/>
      <c r="G33" s="532"/>
      <c r="H33" s="533"/>
    </row>
    <row r="34" spans="1:8" x14ac:dyDescent="0.25">
      <c r="A34" s="550"/>
      <c r="B34" s="513"/>
      <c r="C34" s="513"/>
      <c r="D34" s="513"/>
      <c r="E34" s="513"/>
      <c r="F34" s="513"/>
      <c r="G34" s="513"/>
      <c r="H34" s="514"/>
    </row>
    <row r="35" spans="1:8" x14ac:dyDescent="0.25">
      <c r="A35" s="320"/>
      <c r="B35" s="309"/>
      <c r="C35" s="309"/>
      <c r="D35" s="309"/>
      <c r="E35" s="309"/>
      <c r="F35" s="309"/>
      <c r="G35" s="309"/>
      <c r="H35" s="310"/>
    </row>
    <row r="36" spans="1:8" x14ac:dyDescent="0.25">
      <c r="A36" s="320"/>
      <c r="B36" s="309"/>
      <c r="C36" s="309"/>
      <c r="D36" s="309"/>
      <c r="E36" s="309"/>
      <c r="F36" s="309"/>
      <c r="G36" s="309"/>
      <c r="H36" s="310"/>
    </row>
    <row r="37" spans="1:8" x14ac:dyDescent="0.25">
      <c r="A37" s="320"/>
      <c r="B37" s="309"/>
      <c r="C37" s="309"/>
      <c r="D37" s="309"/>
      <c r="E37" s="309"/>
      <c r="F37" s="309"/>
      <c r="G37" s="309"/>
      <c r="H37" s="310"/>
    </row>
    <row r="38" spans="1:8" ht="15.75" thickBot="1" x14ac:dyDescent="0.3">
      <c r="A38" s="354"/>
      <c r="B38" s="345"/>
      <c r="C38" s="345"/>
      <c r="D38" s="345"/>
      <c r="E38" s="345"/>
      <c r="F38" s="345"/>
      <c r="G38" s="345"/>
      <c r="H38" s="346"/>
    </row>
    <row r="39" spans="1:8" ht="15.75" thickBot="1" x14ac:dyDescent="0.3">
      <c r="A39" s="531" t="s">
        <v>407</v>
      </c>
      <c r="B39" s="532"/>
      <c r="C39" s="532"/>
      <c r="D39" s="532"/>
      <c r="E39" s="532"/>
      <c r="F39" s="532"/>
      <c r="G39" s="532"/>
      <c r="H39" s="533"/>
    </row>
    <row r="40" spans="1:8" x14ac:dyDescent="0.25">
      <c r="A40" s="571"/>
      <c r="B40" s="572"/>
      <c r="C40" s="572"/>
      <c r="D40" s="572"/>
      <c r="E40" s="572"/>
      <c r="F40" s="572"/>
      <c r="G40" s="572"/>
      <c r="H40" s="573"/>
    </row>
    <row r="41" spans="1:8" x14ac:dyDescent="0.25">
      <c r="A41" s="535"/>
      <c r="B41" s="536"/>
      <c r="C41" s="536"/>
      <c r="D41" s="536"/>
      <c r="E41" s="536"/>
      <c r="F41" s="536"/>
      <c r="G41" s="536"/>
      <c r="H41" s="537"/>
    </row>
    <row r="42" spans="1:8" x14ac:dyDescent="0.25">
      <c r="A42" s="535"/>
      <c r="B42" s="536"/>
      <c r="C42" s="536"/>
      <c r="D42" s="536"/>
      <c r="E42" s="536"/>
      <c r="F42" s="536"/>
      <c r="G42" s="536"/>
      <c r="H42" s="537"/>
    </row>
    <row r="43" spans="1:8" x14ac:dyDescent="0.25">
      <c r="A43" s="535"/>
      <c r="B43" s="536"/>
      <c r="C43" s="536"/>
      <c r="D43" s="536"/>
      <c r="E43" s="536"/>
      <c r="F43" s="536"/>
      <c r="G43" s="536"/>
      <c r="H43" s="537"/>
    </row>
    <row r="44" spans="1:8" x14ac:dyDescent="0.25">
      <c r="A44" s="538"/>
      <c r="B44" s="539"/>
      <c r="C44" s="539"/>
      <c r="D44" s="539"/>
      <c r="E44" s="539"/>
      <c r="F44" s="539"/>
      <c r="G44" s="539"/>
      <c r="H44" s="540"/>
    </row>
    <row r="45" spans="1:8" ht="15.75" thickBot="1" x14ac:dyDescent="0.3">
      <c r="A45" s="541" t="s">
        <v>162</v>
      </c>
      <c r="B45" s="542"/>
      <c r="C45" s="542"/>
      <c r="D45" s="542"/>
      <c r="E45" s="542"/>
      <c r="F45" s="542"/>
      <c r="G45" s="542"/>
      <c r="H45" s="543"/>
    </row>
    <row r="46" spans="1:8" ht="15.75" thickBot="1" x14ac:dyDescent="0.3">
      <c r="A46" s="13" t="s">
        <v>75</v>
      </c>
      <c r="B46" s="525" t="s">
        <v>76</v>
      </c>
      <c r="C46" s="526"/>
      <c r="D46" s="525" t="s">
        <v>77</v>
      </c>
      <c r="E46" s="527"/>
      <c r="F46" s="527"/>
      <c r="G46" s="527"/>
      <c r="H46" s="528"/>
    </row>
    <row r="47" spans="1:8" x14ac:dyDescent="0.25">
      <c r="A47" s="126">
        <v>2024</v>
      </c>
      <c r="B47" s="523"/>
      <c r="C47" s="524"/>
      <c r="D47" s="529"/>
      <c r="E47" s="529"/>
      <c r="F47" s="529"/>
      <c r="G47" s="529"/>
      <c r="H47" s="530"/>
    </row>
    <row r="48" spans="1:8" x14ac:dyDescent="0.25">
      <c r="A48" s="37">
        <v>2025</v>
      </c>
      <c r="B48" s="544"/>
      <c r="C48" s="545"/>
      <c r="D48" s="518"/>
      <c r="E48" s="518"/>
      <c r="F48" s="518"/>
      <c r="G48" s="518"/>
      <c r="H48" s="519"/>
    </row>
    <row r="49" spans="1:8" x14ac:dyDescent="0.25">
      <c r="A49" s="36">
        <v>2026</v>
      </c>
      <c r="B49" s="546"/>
      <c r="C49" s="547"/>
      <c r="D49" s="518"/>
      <c r="E49" s="518"/>
      <c r="F49" s="518"/>
      <c r="G49" s="518"/>
      <c r="H49" s="519"/>
    </row>
    <row r="50" spans="1:8" ht="15.75" customHeight="1" x14ac:dyDescent="0.25">
      <c r="A50" s="38">
        <v>2028</v>
      </c>
      <c r="B50" s="548"/>
      <c r="C50" s="549"/>
      <c r="D50" s="520"/>
      <c r="E50" s="521"/>
      <c r="F50" s="521"/>
      <c r="G50" s="521"/>
      <c r="H50" s="522"/>
    </row>
    <row r="51" spans="1:8" ht="15.75" thickBot="1" x14ac:dyDescent="0.3">
      <c r="A51" s="534"/>
      <c r="B51" s="534"/>
      <c r="C51" s="534"/>
      <c r="D51" s="534"/>
      <c r="E51" s="534"/>
      <c r="F51" s="534"/>
      <c r="G51" s="534"/>
      <c r="H51" s="534"/>
    </row>
    <row r="52" spans="1:8" ht="15.75" thickBot="1" x14ac:dyDescent="0.3">
      <c r="A52" s="8" t="s">
        <v>78</v>
      </c>
      <c r="B52" s="492"/>
      <c r="C52" s="492"/>
      <c r="D52" s="492"/>
      <c r="E52" s="492"/>
      <c r="F52" s="492"/>
      <c r="G52" s="492"/>
      <c r="H52" s="492"/>
    </row>
    <row r="53" spans="1:8" ht="15.75" thickBot="1" x14ac:dyDescent="0.3">
      <c r="A53" s="515" t="s">
        <v>80</v>
      </c>
      <c r="B53" s="516"/>
      <c r="C53" s="516"/>
      <c r="D53" s="516"/>
      <c r="E53" s="516"/>
      <c r="F53" s="516"/>
      <c r="G53" s="516"/>
      <c r="H53" s="517"/>
    </row>
    <row r="54" spans="1:8" x14ac:dyDescent="0.25">
      <c r="A54" s="124">
        <v>1</v>
      </c>
      <c r="B54" s="568"/>
      <c r="C54" s="568"/>
      <c r="D54" s="568"/>
      <c r="E54" s="568"/>
      <c r="F54" s="568"/>
      <c r="G54" s="568"/>
      <c r="H54" s="569"/>
    </row>
    <row r="55" spans="1:8" x14ac:dyDescent="0.25">
      <c r="A55" s="39">
        <v>2</v>
      </c>
      <c r="B55" s="566"/>
      <c r="C55" s="317"/>
      <c r="D55" s="317"/>
      <c r="E55" s="317"/>
      <c r="F55" s="317"/>
      <c r="G55" s="317"/>
      <c r="H55" s="318"/>
    </row>
    <row r="56" spans="1:8" x14ac:dyDescent="0.25">
      <c r="A56" s="39">
        <v>3</v>
      </c>
      <c r="B56" s="566"/>
      <c r="C56" s="317"/>
      <c r="D56" s="317"/>
      <c r="E56" s="317"/>
      <c r="F56" s="317"/>
      <c r="G56" s="317"/>
      <c r="H56" s="318"/>
    </row>
    <row r="57" spans="1:8" x14ac:dyDescent="0.25">
      <c r="A57" s="39">
        <v>4</v>
      </c>
      <c r="B57" s="566"/>
      <c r="C57" s="317"/>
      <c r="D57" s="317"/>
      <c r="E57" s="317"/>
      <c r="F57" s="317"/>
      <c r="G57" s="317"/>
      <c r="H57" s="318"/>
    </row>
    <row r="58" spans="1:8" ht="15.75" customHeight="1" thickBot="1" x14ac:dyDescent="0.3">
      <c r="A58" s="40">
        <v>5</v>
      </c>
      <c r="B58" s="567"/>
      <c r="C58" s="351"/>
      <c r="D58" s="351"/>
      <c r="E58" s="351"/>
      <c r="F58" s="351"/>
      <c r="G58" s="351"/>
      <c r="H58" s="352"/>
    </row>
    <row r="59" spans="1:8" ht="15.75" thickBot="1" x14ac:dyDescent="0.3">
      <c r="A59" s="515" t="s">
        <v>81</v>
      </c>
      <c r="B59" s="516"/>
      <c r="C59" s="516"/>
      <c r="D59" s="516"/>
      <c r="E59" s="516"/>
      <c r="F59" s="516"/>
      <c r="G59" s="516"/>
      <c r="H59" s="517"/>
    </row>
    <row r="60" spans="1:8" x14ac:dyDescent="0.25">
      <c r="A60" s="125">
        <v>1</v>
      </c>
      <c r="B60" s="570"/>
      <c r="C60" s="568"/>
      <c r="D60" s="568"/>
      <c r="E60" s="568"/>
      <c r="F60" s="568"/>
      <c r="G60" s="568"/>
      <c r="H60" s="569"/>
    </row>
    <row r="61" spans="1:8" x14ac:dyDescent="0.25">
      <c r="A61" s="39">
        <v>2</v>
      </c>
      <c r="B61" s="566"/>
      <c r="C61" s="317"/>
      <c r="D61" s="317"/>
      <c r="E61" s="317"/>
      <c r="F61" s="317"/>
      <c r="G61" s="317"/>
      <c r="H61" s="318"/>
    </row>
    <row r="62" spans="1:8" x14ac:dyDescent="0.25">
      <c r="A62" s="39">
        <v>3</v>
      </c>
      <c r="B62" s="566"/>
      <c r="C62" s="317"/>
      <c r="D62" s="317"/>
      <c r="E62" s="317"/>
      <c r="F62" s="317"/>
      <c r="G62" s="317"/>
      <c r="H62" s="318"/>
    </row>
    <row r="63" spans="1:8" x14ac:dyDescent="0.25">
      <c r="A63" s="39">
        <v>4</v>
      </c>
      <c r="B63" s="566"/>
      <c r="C63" s="317"/>
      <c r="D63" s="317"/>
      <c r="E63" s="317"/>
      <c r="F63" s="317"/>
      <c r="G63" s="317"/>
      <c r="H63" s="318"/>
    </row>
    <row r="64" spans="1:8" ht="15.75" customHeight="1" thickBot="1" x14ac:dyDescent="0.3">
      <c r="A64" s="40">
        <v>5</v>
      </c>
      <c r="B64" s="567"/>
      <c r="C64" s="351"/>
      <c r="D64" s="351"/>
      <c r="E64" s="351"/>
      <c r="F64" s="351"/>
      <c r="G64" s="351"/>
      <c r="H64" s="352"/>
    </row>
    <row r="65" spans="1:8" ht="15.75" thickBot="1" x14ac:dyDescent="0.3">
      <c r="A65" s="510" t="s">
        <v>293</v>
      </c>
      <c r="B65" s="511"/>
      <c r="C65" s="511"/>
      <c r="D65" s="511"/>
      <c r="E65" s="511"/>
      <c r="F65" s="511"/>
      <c r="G65" s="511"/>
      <c r="H65" s="512"/>
    </row>
    <row r="66" spans="1:8" x14ac:dyDescent="0.25">
      <c r="A66" s="17">
        <v>1</v>
      </c>
      <c r="B66" s="513"/>
      <c r="C66" s="513"/>
      <c r="D66" s="513"/>
      <c r="E66" s="513"/>
      <c r="F66" s="513"/>
      <c r="G66" s="513"/>
      <c r="H66" s="514"/>
    </row>
    <row r="67" spans="1:8" x14ac:dyDescent="0.25">
      <c r="A67" s="22">
        <v>2</v>
      </c>
      <c r="B67" s="309"/>
      <c r="C67" s="309"/>
      <c r="D67" s="309"/>
      <c r="E67" s="309"/>
      <c r="F67" s="309"/>
      <c r="G67" s="309"/>
      <c r="H67" s="310"/>
    </row>
    <row r="68" spans="1:8" x14ac:dyDescent="0.25">
      <c r="A68" s="22">
        <v>3</v>
      </c>
      <c r="B68" s="309"/>
      <c r="C68" s="309"/>
      <c r="D68" s="309"/>
      <c r="E68" s="309"/>
      <c r="F68" s="309"/>
      <c r="G68" s="309"/>
      <c r="H68" s="310"/>
    </row>
    <row r="69" spans="1:8" x14ac:dyDescent="0.25">
      <c r="A69" s="22">
        <v>4</v>
      </c>
      <c r="B69" s="309"/>
      <c r="C69" s="309"/>
      <c r="D69" s="309"/>
      <c r="E69" s="309"/>
      <c r="F69" s="309"/>
      <c r="G69" s="309"/>
      <c r="H69" s="310"/>
    </row>
    <row r="70" spans="1:8" ht="15.75" thickBot="1" x14ac:dyDescent="0.3">
      <c r="A70" s="10">
        <v>5</v>
      </c>
      <c r="B70" s="345"/>
      <c r="C70" s="345"/>
      <c r="D70" s="345"/>
      <c r="E70" s="345"/>
      <c r="F70" s="345"/>
      <c r="G70" s="345"/>
      <c r="H70" s="346"/>
    </row>
  </sheetData>
  <mergeCells count="61">
    <mergeCell ref="A53:H53"/>
    <mergeCell ref="A10:G10"/>
    <mergeCell ref="B62:H62"/>
    <mergeCell ref="B63:H63"/>
    <mergeCell ref="B64:H64"/>
    <mergeCell ref="B54:H54"/>
    <mergeCell ref="B55:H55"/>
    <mergeCell ref="B56:H56"/>
    <mergeCell ref="B57:H57"/>
    <mergeCell ref="B58:H58"/>
    <mergeCell ref="B60:H60"/>
    <mergeCell ref="B61:H61"/>
    <mergeCell ref="A40:H40"/>
    <mergeCell ref="A29:H29"/>
    <mergeCell ref="A30:H30"/>
    <mergeCell ref="A31:H31"/>
    <mergeCell ref="A32:H32"/>
    <mergeCell ref="A33:H33"/>
    <mergeCell ref="A34:H34"/>
    <mergeCell ref="A4:H4"/>
    <mergeCell ref="A1:H1"/>
    <mergeCell ref="A26:H26"/>
    <mergeCell ref="A27:H27"/>
    <mergeCell ref="A28:H28"/>
    <mergeCell ref="A5:H5"/>
    <mergeCell ref="A2:H2"/>
    <mergeCell ref="A7:G7"/>
    <mergeCell ref="A9:G9"/>
    <mergeCell ref="A3:H3"/>
    <mergeCell ref="B25:H25"/>
    <mergeCell ref="A51:H51"/>
    <mergeCell ref="A41:H41"/>
    <mergeCell ref="A42:H42"/>
    <mergeCell ref="A43:H43"/>
    <mergeCell ref="A44:H44"/>
    <mergeCell ref="A45:H45"/>
    <mergeCell ref="B48:C48"/>
    <mergeCell ref="B49:C49"/>
    <mergeCell ref="B50:C50"/>
    <mergeCell ref="D48:H48"/>
    <mergeCell ref="A35:H35"/>
    <mergeCell ref="A36:H36"/>
    <mergeCell ref="A37:H37"/>
    <mergeCell ref="A38:H38"/>
    <mergeCell ref="A39:H39"/>
    <mergeCell ref="B70:H70"/>
    <mergeCell ref="A8:G8"/>
    <mergeCell ref="A65:H65"/>
    <mergeCell ref="B66:H66"/>
    <mergeCell ref="B67:H67"/>
    <mergeCell ref="B68:H68"/>
    <mergeCell ref="B69:H69"/>
    <mergeCell ref="A59:H59"/>
    <mergeCell ref="D49:H49"/>
    <mergeCell ref="D50:H50"/>
    <mergeCell ref="B47:C47"/>
    <mergeCell ref="B46:C46"/>
    <mergeCell ref="D46:H46"/>
    <mergeCell ref="D47:H47"/>
    <mergeCell ref="B52:H52"/>
    <mergeCell ref="A24:H24"/>
  </mergeCells>
  <phoneticPr fontId="7" type="noConversion"/>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2751-0B2E-4BD3-A5BE-9B8E6A96792A}">
  <sheetPr>
    <tabColor theme="5" tint="0.39997558519241921"/>
  </sheetPr>
  <dimension ref="A1:R104"/>
  <sheetViews>
    <sheetView topLeftCell="A66" workbookViewId="0">
      <selection activeCell="C45" sqref="C45"/>
    </sheetView>
  </sheetViews>
  <sheetFormatPr defaultRowHeight="15" x14ac:dyDescent="0.25"/>
  <sheetData>
    <row r="1" spans="1:17" ht="15.75" x14ac:dyDescent="0.25">
      <c r="A1" s="92" t="s">
        <v>164</v>
      </c>
    </row>
    <row r="2" spans="1:17" x14ac:dyDescent="0.25">
      <c r="A2" s="93" t="s">
        <v>165</v>
      </c>
      <c r="B2" s="93"/>
      <c r="C2" s="93"/>
      <c r="D2" s="94"/>
      <c r="E2" s="94"/>
    </row>
    <row r="3" spans="1:17" x14ac:dyDescent="0.25">
      <c r="A3" s="94" t="s">
        <v>166</v>
      </c>
      <c r="B3" s="94"/>
      <c r="C3" s="94"/>
      <c r="D3" s="94"/>
      <c r="E3" s="94"/>
    </row>
    <row r="4" spans="1:17" x14ac:dyDescent="0.25">
      <c r="A4" s="94" t="s">
        <v>167</v>
      </c>
      <c r="B4" s="94"/>
      <c r="C4" s="94"/>
      <c r="D4" s="94"/>
      <c r="E4" s="94"/>
    </row>
    <row r="5" spans="1:17" x14ac:dyDescent="0.25">
      <c r="A5" s="94" t="s">
        <v>168</v>
      </c>
      <c r="B5" s="94"/>
      <c r="C5" s="94"/>
      <c r="D5" s="94"/>
      <c r="E5" s="94"/>
    </row>
    <row r="6" spans="1:17" x14ac:dyDescent="0.25">
      <c r="A6" s="94" t="s">
        <v>169</v>
      </c>
      <c r="B6" s="94"/>
      <c r="C6" s="94"/>
      <c r="D6" s="94"/>
      <c r="E6" s="94"/>
      <c r="F6" s="94"/>
      <c r="G6" s="94"/>
      <c r="H6" s="94"/>
    </row>
    <row r="7" spans="1:17" x14ac:dyDescent="0.25">
      <c r="A7" s="94"/>
      <c r="B7" s="94"/>
      <c r="C7" s="94"/>
      <c r="D7" s="94"/>
      <c r="E7" s="94"/>
      <c r="F7" s="94"/>
      <c r="G7" s="94"/>
      <c r="H7" s="94"/>
    </row>
    <row r="8" spans="1:17" x14ac:dyDescent="0.25">
      <c r="A8" s="95" t="s">
        <v>170</v>
      </c>
    </row>
    <row r="9" spans="1:17" x14ac:dyDescent="0.25">
      <c r="A9" s="95"/>
      <c r="C9" s="94" t="s">
        <v>171</v>
      </c>
    </row>
    <row r="10" spans="1:17" x14ac:dyDescent="0.25">
      <c r="A10" s="95"/>
      <c r="C10" s="94" t="s">
        <v>172</v>
      </c>
      <c r="D10" s="94"/>
      <c r="E10" s="94"/>
      <c r="F10" s="94"/>
      <c r="G10" s="94"/>
      <c r="H10" s="94"/>
      <c r="I10" s="94"/>
      <c r="J10" s="94"/>
      <c r="K10" s="94"/>
      <c r="L10" s="94"/>
      <c r="M10" s="94"/>
      <c r="N10" s="94"/>
      <c r="O10" s="94"/>
      <c r="P10" s="94"/>
      <c r="Q10" s="94"/>
    </row>
    <row r="11" spans="1:17" x14ac:dyDescent="0.25">
      <c r="A11" s="95"/>
      <c r="C11" s="94" t="s">
        <v>173</v>
      </c>
    </row>
    <row r="12" spans="1:17" x14ac:dyDescent="0.25">
      <c r="A12" s="95"/>
      <c r="C12" s="94" t="s">
        <v>174</v>
      </c>
    </row>
    <row r="13" spans="1:17" x14ac:dyDescent="0.25">
      <c r="A13" s="95"/>
      <c r="C13" s="94" t="s">
        <v>175</v>
      </c>
    </row>
    <row r="14" spans="1:17" x14ac:dyDescent="0.25">
      <c r="A14" s="95"/>
      <c r="C14" s="94" t="s">
        <v>176</v>
      </c>
    </row>
    <row r="15" spans="1:17" x14ac:dyDescent="0.25">
      <c r="A15" s="95"/>
      <c r="C15" s="94" t="s">
        <v>177</v>
      </c>
    </row>
    <row r="16" spans="1:17" x14ac:dyDescent="0.25">
      <c r="A16" s="95"/>
      <c r="C16" s="94" t="s">
        <v>178</v>
      </c>
    </row>
    <row r="17" spans="1:17" x14ac:dyDescent="0.25">
      <c r="A17" s="95"/>
      <c r="C17" s="94"/>
    </row>
    <row r="18" spans="1:17" x14ac:dyDescent="0.25">
      <c r="C18" s="94" t="s">
        <v>179</v>
      </c>
      <c r="D18" s="94"/>
      <c r="E18" s="94"/>
      <c r="F18" s="94"/>
      <c r="G18" s="94"/>
      <c r="H18" s="94"/>
      <c r="I18" s="94"/>
      <c r="J18" s="94"/>
      <c r="K18" s="94"/>
      <c r="L18" s="94"/>
      <c r="M18" s="94"/>
      <c r="N18" s="94"/>
      <c r="O18" s="94"/>
      <c r="P18" s="94"/>
      <c r="Q18" s="94"/>
    </row>
    <row r="19" spans="1:17" x14ac:dyDescent="0.25">
      <c r="C19" s="94" t="s">
        <v>180</v>
      </c>
      <c r="D19" s="94"/>
      <c r="E19" s="94"/>
      <c r="F19" s="94"/>
      <c r="G19" s="94"/>
      <c r="H19" s="94"/>
      <c r="I19" s="94"/>
      <c r="J19" s="94"/>
      <c r="K19" s="94"/>
      <c r="L19" s="94"/>
      <c r="M19" s="94"/>
      <c r="N19" s="94"/>
      <c r="O19" s="94"/>
    </row>
    <row r="20" spans="1:17" x14ac:dyDescent="0.25">
      <c r="C20" s="94" t="s">
        <v>181</v>
      </c>
      <c r="D20" s="94"/>
      <c r="E20" s="94"/>
      <c r="F20" s="94"/>
      <c r="G20" s="94"/>
      <c r="H20" s="94"/>
      <c r="I20" s="94"/>
      <c r="J20" s="94"/>
      <c r="K20" s="94"/>
      <c r="L20" s="94"/>
      <c r="M20" s="94"/>
      <c r="N20" s="94"/>
      <c r="O20" s="94"/>
    </row>
    <row r="21" spans="1:17" x14ac:dyDescent="0.25">
      <c r="C21" s="94" t="s">
        <v>182</v>
      </c>
      <c r="D21" s="94"/>
      <c r="E21" s="94"/>
      <c r="F21" s="94"/>
      <c r="G21" s="94"/>
      <c r="H21" s="94"/>
      <c r="I21" s="94"/>
      <c r="J21" s="94"/>
      <c r="K21" s="94"/>
      <c r="L21" s="94"/>
      <c r="M21" s="94"/>
      <c r="N21" s="94"/>
      <c r="O21" s="94"/>
    </row>
    <row r="22" spans="1:17" x14ac:dyDescent="0.25">
      <c r="C22" s="94" t="s">
        <v>183</v>
      </c>
      <c r="D22" s="94"/>
      <c r="E22" s="94"/>
      <c r="F22" s="94"/>
      <c r="G22" s="94"/>
      <c r="H22" s="94"/>
      <c r="I22" s="94"/>
      <c r="J22" s="94"/>
      <c r="K22" s="94"/>
      <c r="L22" s="94"/>
      <c r="M22" s="94"/>
      <c r="N22" s="94"/>
      <c r="O22" s="94"/>
    </row>
    <row r="23" spans="1:17" x14ac:dyDescent="0.25">
      <c r="C23" s="94" t="s">
        <v>184</v>
      </c>
      <c r="D23" s="94"/>
      <c r="E23" s="94"/>
      <c r="F23" s="94"/>
      <c r="G23" s="94"/>
      <c r="H23" s="94"/>
      <c r="I23" s="94"/>
      <c r="J23" s="94"/>
      <c r="K23" s="94"/>
      <c r="L23" s="94"/>
      <c r="M23" s="94"/>
      <c r="N23" s="94"/>
      <c r="O23" s="94"/>
    </row>
    <row r="24" spans="1:17" x14ac:dyDescent="0.25">
      <c r="C24" s="94" t="s">
        <v>185</v>
      </c>
      <c r="D24" s="94"/>
      <c r="E24" s="94"/>
      <c r="F24" s="94"/>
      <c r="G24" s="94"/>
      <c r="H24" s="94"/>
      <c r="I24" s="94"/>
      <c r="J24" s="94"/>
      <c r="K24" s="94"/>
      <c r="L24" s="94"/>
      <c r="M24" s="94"/>
      <c r="N24" s="94"/>
      <c r="O24" s="94"/>
    </row>
    <row r="25" spans="1:17" x14ac:dyDescent="0.25">
      <c r="C25" s="94" t="s">
        <v>186</v>
      </c>
      <c r="D25" s="94"/>
      <c r="E25" s="94"/>
      <c r="F25" s="94"/>
      <c r="G25" s="94"/>
      <c r="H25" s="94"/>
      <c r="I25" s="94"/>
      <c r="J25" s="94"/>
      <c r="K25" s="94"/>
      <c r="L25" s="94"/>
      <c r="M25" s="94"/>
      <c r="N25" s="94"/>
      <c r="O25" s="94"/>
    </row>
    <row r="26" spans="1:17" x14ac:dyDescent="0.25">
      <c r="C26" s="94" t="s">
        <v>187</v>
      </c>
      <c r="D26" s="94"/>
      <c r="E26" s="94"/>
      <c r="F26" s="94"/>
      <c r="G26" s="94"/>
      <c r="H26" s="94"/>
      <c r="I26" s="94"/>
      <c r="J26" s="94"/>
      <c r="K26" s="94"/>
      <c r="L26" s="94"/>
      <c r="M26" s="94"/>
      <c r="N26" s="94"/>
      <c r="O26" s="94"/>
    </row>
    <row r="27" spans="1:17" x14ac:dyDescent="0.25">
      <c r="C27" s="94" t="s">
        <v>188</v>
      </c>
      <c r="D27" s="94"/>
      <c r="E27" s="94"/>
      <c r="F27" s="94"/>
      <c r="G27" s="94"/>
      <c r="H27" s="94"/>
      <c r="I27" s="94"/>
      <c r="J27" s="94"/>
      <c r="K27" s="94"/>
      <c r="L27" s="94"/>
      <c r="M27" s="94"/>
      <c r="N27" s="94"/>
      <c r="O27" s="94"/>
    </row>
    <row r="28" spans="1:17" x14ac:dyDescent="0.25">
      <c r="C28" s="94" t="s">
        <v>189</v>
      </c>
      <c r="D28" s="94"/>
      <c r="E28" s="94"/>
      <c r="F28" s="94"/>
      <c r="G28" s="94"/>
      <c r="H28" s="94"/>
      <c r="I28" s="94"/>
      <c r="J28" s="94"/>
      <c r="K28" s="94"/>
      <c r="L28" s="94"/>
      <c r="M28" s="94"/>
      <c r="N28" s="94"/>
      <c r="O28" s="94"/>
    </row>
    <row r="29" spans="1:17" x14ac:dyDescent="0.25">
      <c r="C29" s="94" t="s">
        <v>190</v>
      </c>
      <c r="D29" s="94"/>
      <c r="E29" s="94"/>
      <c r="F29" s="94"/>
      <c r="G29" s="94"/>
      <c r="H29" s="94"/>
      <c r="I29" s="94"/>
      <c r="J29" s="94"/>
      <c r="K29" s="94"/>
      <c r="L29" s="94"/>
      <c r="M29" s="94"/>
      <c r="N29" s="94"/>
      <c r="O29" s="94"/>
    </row>
    <row r="30" spans="1:17" x14ac:dyDescent="0.25">
      <c r="C30" s="94" t="s">
        <v>191</v>
      </c>
      <c r="D30" s="94"/>
      <c r="E30" s="94"/>
      <c r="F30" s="94"/>
      <c r="G30" s="94"/>
      <c r="H30" s="94"/>
      <c r="I30" s="94"/>
      <c r="J30" s="94"/>
      <c r="K30" s="94"/>
      <c r="L30" s="94"/>
      <c r="M30" s="94"/>
      <c r="N30" s="94"/>
      <c r="O30" s="94"/>
    </row>
    <row r="31" spans="1:17" x14ac:dyDescent="0.25">
      <c r="C31" s="94" t="s">
        <v>192</v>
      </c>
      <c r="D31" s="94"/>
      <c r="E31" s="94"/>
      <c r="F31" s="94"/>
      <c r="G31" s="94"/>
      <c r="H31" s="94"/>
      <c r="I31" s="94"/>
      <c r="J31" s="94"/>
      <c r="K31" s="94"/>
      <c r="L31" s="94"/>
      <c r="M31" s="94"/>
      <c r="N31" s="94"/>
      <c r="O31" s="94"/>
    </row>
    <row r="32" spans="1:17" x14ac:dyDescent="0.25">
      <c r="C32" s="94" t="s">
        <v>193</v>
      </c>
      <c r="D32" s="94"/>
      <c r="E32" s="94"/>
      <c r="F32" s="94"/>
      <c r="G32" s="94"/>
      <c r="H32" s="94"/>
      <c r="I32" s="94"/>
      <c r="J32" s="94"/>
      <c r="K32" s="94"/>
      <c r="L32" s="94"/>
      <c r="M32" s="94"/>
      <c r="N32" s="94"/>
      <c r="O32" s="94"/>
    </row>
    <row r="33" spans="3:15" x14ac:dyDescent="0.25">
      <c r="C33" s="94" t="s">
        <v>194</v>
      </c>
      <c r="D33" s="94"/>
      <c r="E33" s="94"/>
      <c r="F33" s="94"/>
      <c r="G33" s="94"/>
      <c r="H33" s="94"/>
      <c r="I33" s="94"/>
      <c r="J33" s="94"/>
      <c r="K33" s="94"/>
      <c r="L33" s="94"/>
      <c r="M33" s="94"/>
      <c r="N33" s="94"/>
      <c r="O33" s="94"/>
    </row>
    <row r="34" spans="3:15" x14ac:dyDescent="0.25">
      <c r="C34" s="94" t="s">
        <v>195</v>
      </c>
      <c r="D34" s="94"/>
      <c r="E34" s="94"/>
      <c r="F34" s="94"/>
      <c r="G34" s="94"/>
      <c r="H34" s="94"/>
      <c r="I34" s="94"/>
      <c r="J34" s="94"/>
      <c r="K34" s="94"/>
      <c r="L34" s="94"/>
      <c r="M34" s="94"/>
      <c r="N34" s="94"/>
      <c r="O34" s="94"/>
    </row>
    <row r="35" spans="3:15" x14ac:dyDescent="0.25">
      <c r="C35" s="94" t="s">
        <v>196</v>
      </c>
      <c r="D35" s="94"/>
      <c r="E35" s="94"/>
      <c r="F35" s="94"/>
      <c r="G35" s="94"/>
      <c r="H35" s="94"/>
      <c r="I35" s="94"/>
      <c r="J35" s="94"/>
      <c r="K35" s="94"/>
      <c r="L35" s="94"/>
      <c r="M35" s="94"/>
      <c r="N35" s="94"/>
      <c r="O35" s="94"/>
    </row>
    <row r="36" spans="3:15" x14ac:dyDescent="0.25">
      <c r="C36" s="94" t="s">
        <v>197</v>
      </c>
      <c r="D36" s="94"/>
      <c r="E36" s="94"/>
      <c r="F36" s="94"/>
      <c r="G36" s="94"/>
      <c r="H36" s="94"/>
      <c r="I36" s="94"/>
      <c r="J36" s="94"/>
      <c r="K36" s="94"/>
      <c r="L36" s="94"/>
      <c r="M36" s="94"/>
      <c r="N36" s="94"/>
      <c r="O36" s="94"/>
    </row>
    <row r="37" spans="3:15" x14ac:dyDescent="0.25">
      <c r="C37" s="94" t="s">
        <v>198</v>
      </c>
      <c r="D37" s="94"/>
      <c r="E37" s="94"/>
      <c r="F37" s="94"/>
      <c r="G37" s="94"/>
      <c r="H37" s="94"/>
      <c r="I37" s="94"/>
      <c r="J37" s="94"/>
      <c r="K37" s="94"/>
      <c r="L37" s="94"/>
      <c r="M37" s="94"/>
      <c r="N37" s="94"/>
      <c r="O37" s="94"/>
    </row>
    <row r="38" spans="3:15" x14ac:dyDescent="0.25">
      <c r="C38" s="94"/>
      <c r="D38" s="94"/>
      <c r="E38" s="94"/>
      <c r="F38" s="94"/>
      <c r="G38" s="94"/>
      <c r="H38" s="94"/>
      <c r="I38" s="94"/>
      <c r="J38" s="94"/>
      <c r="K38" s="94"/>
      <c r="L38" s="94"/>
      <c r="M38" s="94"/>
      <c r="N38" s="94"/>
      <c r="O38" s="94"/>
    </row>
    <row r="39" spans="3:15" x14ac:dyDescent="0.25">
      <c r="C39" s="94" t="s">
        <v>199</v>
      </c>
      <c r="D39" s="94"/>
      <c r="E39" s="94"/>
      <c r="F39" s="94"/>
      <c r="G39" s="94"/>
      <c r="H39" s="94"/>
      <c r="I39" s="94"/>
      <c r="J39" s="94"/>
      <c r="K39" s="94"/>
      <c r="L39" s="94"/>
      <c r="M39" s="94"/>
      <c r="N39" s="94"/>
      <c r="O39" s="94"/>
    </row>
    <row r="40" spans="3:15" x14ac:dyDescent="0.25">
      <c r="C40" s="94" t="s">
        <v>200</v>
      </c>
      <c r="D40" s="94"/>
      <c r="E40" s="94"/>
      <c r="F40" s="94"/>
      <c r="G40" s="94"/>
      <c r="H40" s="94"/>
      <c r="I40" s="94"/>
      <c r="J40" s="94"/>
      <c r="K40" s="94"/>
      <c r="L40" s="94"/>
      <c r="M40" s="94"/>
      <c r="N40" s="94"/>
      <c r="O40" s="94"/>
    </row>
    <row r="41" spans="3:15" x14ac:dyDescent="0.25">
      <c r="C41" s="94" t="s">
        <v>201</v>
      </c>
      <c r="D41" s="94"/>
      <c r="E41" s="94"/>
      <c r="F41" s="94"/>
      <c r="G41" s="94"/>
      <c r="H41" s="94"/>
      <c r="I41" s="94"/>
      <c r="J41" s="94"/>
      <c r="K41" s="94"/>
      <c r="L41" s="94"/>
      <c r="M41" s="94"/>
      <c r="N41" s="94"/>
      <c r="O41" s="94"/>
    </row>
    <row r="42" spans="3:15" x14ac:dyDescent="0.25">
      <c r="C42" s="94" t="s">
        <v>202</v>
      </c>
      <c r="D42" s="94"/>
      <c r="E42" s="94"/>
      <c r="F42" s="94"/>
      <c r="G42" s="94"/>
      <c r="H42" s="94"/>
      <c r="I42" s="94"/>
      <c r="J42" s="94"/>
      <c r="K42" s="94"/>
      <c r="L42" s="94"/>
      <c r="M42" s="94"/>
      <c r="N42" s="94"/>
      <c r="O42" s="94"/>
    </row>
    <row r="43" spans="3:15" x14ac:dyDescent="0.25">
      <c r="C43" s="94" t="s">
        <v>203</v>
      </c>
      <c r="D43" s="94"/>
      <c r="E43" s="94"/>
      <c r="F43" s="94"/>
      <c r="G43" s="94"/>
      <c r="H43" s="94"/>
      <c r="I43" s="94"/>
      <c r="J43" s="94"/>
      <c r="K43" s="94"/>
      <c r="L43" s="94"/>
      <c r="M43" s="94"/>
      <c r="N43" s="94"/>
      <c r="O43" s="94"/>
    </row>
    <row r="44" spans="3:15" x14ac:dyDescent="0.25">
      <c r="C44" s="94"/>
      <c r="D44" s="94"/>
      <c r="E44" s="94"/>
      <c r="F44" s="94"/>
      <c r="G44" s="94"/>
      <c r="H44" s="94"/>
      <c r="I44" s="94"/>
      <c r="J44" s="94"/>
      <c r="K44" s="94"/>
      <c r="L44" s="94"/>
      <c r="M44" s="94"/>
      <c r="N44" s="94"/>
      <c r="O44" s="94"/>
    </row>
    <row r="45" spans="3:15" x14ac:dyDescent="0.25">
      <c r="C45" s="94" t="s">
        <v>204</v>
      </c>
      <c r="D45" s="94"/>
      <c r="E45" s="94"/>
      <c r="F45" s="94"/>
      <c r="G45" s="94"/>
      <c r="H45" s="94"/>
      <c r="I45" s="94"/>
      <c r="J45" s="94"/>
      <c r="K45" s="94"/>
      <c r="L45" s="94"/>
      <c r="M45" s="94"/>
      <c r="N45" s="94"/>
      <c r="O45" s="94"/>
    </row>
    <row r="46" spans="3:15" x14ac:dyDescent="0.25">
      <c r="C46" s="94" t="s">
        <v>205</v>
      </c>
      <c r="D46" s="94"/>
      <c r="E46" s="94"/>
      <c r="F46" s="94"/>
      <c r="G46" s="94"/>
      <c r="H46" s="94"/>
      <c r="I46" s="94"/>
      <c r="J46" s="94"/>
      <c r="K46" s="94"/>
      <c r="L46" s="94"/>
      <c r="M46" s="94"/>
      <c r="N46" s="94"/>
      <c r="O46" s="94"/>
    </row>
    <row r="47" spans="3:15" x14ac:dyDescent="0.25">
      <c r="C47" s="94"/>
      <c r="D47" s="94"/>
      <c r="E47" s="94"/>
      <c r="F47" s="94"/>
      <c r="G47" s="94"/>
      <c r="H47" s="94"/>
      <c r="I47" s="94"/>
      <c r="J47" s="94"/>
      <c r="K47" s="94"/>
      <c r="L47" s="94"/>
      <c r="M47" s="94"/>
      <c r="N47" s="94"/>
      <c r="O47" s="94"/>
    </row>
    <row r="48" spans="3:15" x14ac:dyDescent="0.25">
      <c r="C48" s="94" t="s">
        <v>206</v>
      </c>
      <c r="D48" s="94"/>
      <c r="E48" s="94"/>
      <c r="F48" s="94"/>
      <c r="G48" s="96"/>
      <c r="H48" s="96"/>
      <c r="I48" s="96"/>
      <c r="J48" s="96"/>
      <c r="K48" s="94"/>
      <c r="L48" s="94"/>
      <c r="M48" s="94"/>
      <c r="N48" s="94"/>
      <c r="O48" s="94"/>
    </row>
    <row r="49" spans="1:18" x14ac:dyDescent="0.25">
      <c r="C49" s="94"/>
      <c r="D49" s="94"/>
      <c r="E49" s="94"/>
      <c r="F49" s="94"/>
      <c r="G49" s="94"/>
      <c r="H49" s="94"/>
      <c r="I49" s="94"/>
      <c r="J49" s="94"/>
      <c r="K49" s="94"/>
      <c r="L49" s="94"/>
      <c r="M49" s="94"/>
      <c r="N49" s="94"/>
      <c r="O49" s="94"/>
    </row>
    <row r="50" spans="1:18" x14ac:dyDescent="0.25">
      <c r="C50" s="94" t="s">
        <v>207</v>
      </c>
      <c r="L50" s="94"/>
      <c r="M50" s="94"/>
      <c r="N50" s="94"/>
      <c r="O50" s="94"/>
    </row>
    <row r="51" spans="1:18" x14ac:dyDescent="0.25">
      <c r="C51" s="94" t="s">
        <v>208</v>
      </c>
      <c r="D51" s="94"/>
      <c r="E51" s="94"/>
      <c r="F51" s="94"/>
      <c r="G51" s="94"/>
      <c r="H51" s="94"/>
      <c r="I51" s="94"/>
      <c r="J51" s="94"/>
      <c r="K51" s="94"/>
      <c r="L51" s="94"/>
      <c r="M51" s="94"/>
      <c r="N51" s="94"/>
      <c r="O51" s="94"/>
    </row>
    <row r="52" spans="1:18" x14ac:dyDescent="0.25">
      <c r="C52" s="94" t="s">
        <v>209</v>
      </c>
      <c r="D52" s="94"/>
      <c r="E52" s="94"/>
      <c r="F52" s="94"/>
      <c r="G52" s="94"/>
      <c r="H52" s="94"/>
      <c r="I52" s="94"/>
      <c r="J52" s="94"/>
      <c r="K52" s="94"/>
      <c r="L52" s="94"/>
      <c r="M52" s="94"/>
      <c r="N52" s="94"/>
      <c r="O52" s="94"/>
    </row>
    <row r="53" spans="1:18" ht="15.75" x14ac:dyDescent="0.25">
      <c r="A53" s="92" t="s">
        <v>210</v>
      </c>
    </row>
    <row r="54" spans="1:18" ht="15.75" x14ac:dyDescent="0.25">
      <c r="A54" s="92" t="s">
        <v>165</v>
      </c>
    </row>
    <row r="55" spans="1:18" ht="15.75" x14ac:dyDescent="0.25">
      <c r="A55" s="92" t="s">
        <v>211</v>
      </c>
    </row>
    <row r="56" spans="1:18" ht="15.75" x14ac:dyDescent="0.25">
      <c r="A56" s="92"/>
      <c r="C56" t="s">
        <v>212</v>
      </c>
      <c r="E56" s="81" t="s">
        <v>213</v>
      </c>
      <c r="I56" s="81" t="s">
        <v>214</v>
      </c>
    </row>
    <row r="57" spans="1:18" ht="15.75" x14ac:dyDescent="0.25">
      <c r="A57" s="92"/>
      <c r="E57" s="97">
        <v>7.5497685185185184E-4</v>
      </c>
      <c r="G57" s="79" t="s">
        <v>215</v>
      </c>
      <c r="I57" s="97">
        <v>6.7418981481481486E-4</v>
      </c>
    </row>
    <row r="58" spans="1:18" ht="15.75" x14ac:dyDescent="0.25">
      <c r="A58" s="92"/>
    </row>
    <row r="59" spans="1:18" ht="16.5" thickBot="1" x14ac:dyDescent="0.3">
      <c r="A59" s="92"/>
      <c r="B59" s="98"/>
      <c r="C59" s="98"/>
      <c r="D59" s="98"/>
      <c r="E59" s="98"/>
      <c r="F59" s="98"/>
      <c r="G59" s="98"/>
      <c r="H59" s="98"/>
      <c r="I59" s="98"/>
      <c r="J59" s="98"/>
      <c r="K59" s="98"/>
      <c r="L59" s="98"/>
      <c r="M59" s="98"/>
      <c r="N59" s="98"/>
      <c r="O59" s="98"/>
      <c r="P59" s="98"/>
      <c r="Q59" s="98"/>
      <c r="R59" s="98"/>
    </row>
    <row r="60" spans="1:18" ht="15.75" thickBot="1" x14ac:dyDescent="0.3">
      <c r="A60" s="232" t="s">
        <v>216</v>
      </c>
      <c r="B60" s="99"/>
      <c r="C60" s="100" t="s">
        <v>213</v>
      </c>
      <c r="D60" s="101"/>
      <c r="E60" s="100" t="s">
        <v>217</v>
      </c>
      <c r="F60" s="102"/>
      <c r="G60" s="100" t="s">
        <v>218</v>
      </c>
      <c r="H60" s="101"/>
      <c r="I60" s="100" t="s">
        <v>217</v>
      </c>
      <c r="J60" s="102"/>
      <c r="K60" s="100" t="s">
        <v>219</v>
      </c>
      <c r="L60" s="101"/>
      <c r="M60" s="100" t="s">
        <v>217</v>
      </c>
      <c r="N60" s="102"/>
      <c r="O60" s="100" t="s">
        <v>220</v>
      </c>
      <c r="P60" s="101"/>
      <c r="Q60" s="100" t="s">
        <v>217</v>
      </c>
      <c r="R60" s="99"/>
    </row>
    <row r="61" spans="1:18" x14ac:dyDescent="0.25">
      <c r="B61" s="103"/>
      <c r="C61" s="104">
        <v>1.1574074074074073E-3</v>
      </c>
      <c r="D61" s="104"/>
      <c r="E61" s="104">
        <f>C61*48.12/100</f>
        <v>5.5694444444444433E-4</v>
      </c>
      <c r="F61" s="105"/>
      <c r="G61" s="104">
        <v>1.1574074074074073E-3</v>
      </c>
      <c r="H61" s="104"/>
      <c r="I61" s="104">
        <f>G61*23.34/100</f>
        <v>2.7013888888888888E-4</v>
      </c>
      <c r="J61" s="105"/>
      <c r="K61" s="104">
        <v>1.1574074074074073E-3</v>
      </c>
      <c r="L61" s="104"/>
      <c r="M61" s="104">
        <f>K61*24.31/100</f>
        <v>2.8136574074074072E-4</v>
      </c>
      <c r="N61" s="105"/>
      <c r="O61" s="104">
        <v>1.1574074074074073E-3</v>
      </c>
      <c r="P61" s="104"/>
      <c r="Q61" s="104">
        <f>O61*19.7/100</f>
        <v>2.2800925925925923E-4</v>
      </c>
      <c r="R61" s="103"/>
    </row>
    <row r="62" spans="1:18" x14ac:dyDescent="0.25">
      <c r="B62" s="103"/>
      <c r="C62" s="106"/>
      <c r="D62" s="107"/>
      <c r="E62" s="104">
        <f>C61*51.81/100</f>
        <v>5.9965277777777773E-4</v>
      </c>
      <c r="F62" s="105"/>
      <c r="G62" s="106"/>
      <c r="H62" s="107"/>
      <c r="I62" s="104">
        <f>G61*25.32/100</f>
        <v>2.9305555555555552E-4</v>
      </c>
      <c r="J62" s="105"/>
      <c r="K62" s="106"/>
      <c r="L62" s="107"/>
      <c r="M62" s="104">
        <f>K61*25.5/100</f>
        <v>2.9513888888888889E-4</v>
      </c>
      <c r="N62" s="105"/>
      <c r="O62" s="106"/>
      <c r="P62" s="107"/>
      <c r="Q62" s="104">
        <f>O61*20.12/100</f>
        <v>2.3287037037037037E-4</v>
      </c>
      <c r="R62" s="103"/>
    </row>
    <row r="63" spans="1:18" x14ac:dyDescent="0.25">
      <c r="B63" s="98"/>
      <c r="C63" s="108" t="s">
        <v>221</v>
      </c>
      <c r="D63" s="109"/>
      <c r="E63" s="110">
        <f>E61*45.54/100/1</f>
        <v>2.5363249999999995E-4</v>
      </c>
      <c r="F63" s="111"/>
      <c r="G63" s="111"/>
      <c r="H63" s="94"/>
      <c r="I63" s="104">
        <f>G61*25.7/100</f>
        <v>2.9745370370370364E-4</v>
      </c>
      <c r="J63" s="111"/>
      <c r="K63" s="111"/>
      <c r="L63" s="94"/>
      <c r="M63" s="104">
        <f>K61*25.47/100</f>
        <v>2.9479166666666662E-4</v>
      </c>
      <c r="N63" s="111"/>
      <c r="O63" s="111"/>
      <c r="P63" s="94"/>
      <c r="Q63" s="104">
        <f>O61*20.13/100</f>
        <v>2.3298611111111111E-4</v>
      </c>
      <c r="R63" s="98"/>
    </row>
    <row r="64" spans="1:18" x14ac:dyDescent="0.25">
      <c r="B64" s="98"/>
      <c r="C64" s="111"/>
      <c r="D64" s="111"/>
      <c r="E64" s="111"/>
      <c r="F64" s="111"/>
      <c r="G64" s="111"/>
      <c r="H64" s="94"/>
      <c r="I64" s="104">
        <f>G61*25.64/100</f>
        <v>2.9675925925925925E-4</v>
      </c>
      <c r="J64" s="111"/>
      <c r="K64" s="111"/>
      <c r="L64" s="94"/>
      <c r="M64" s="104">
        <f>K61*24.78/100</f>
        <v>2.8680555555555555E-4</v>
      </c>
      <c r="N64" s="111"/>
      <c r="O64" s="111"/>
      <c r="P64" s="94"/>
      <c r="Q64" s="104">
        <f>O61*20.14/100</f>
        <v>2.3310185185185185E-4</v>
      </c>
      <c r="R64" s="98"/>
    </row>
    <row r="65" spans="2:18" x14ac:dyDescent="0.25">
      <c r="B65" s="98"/>
      <c r="C65" s="111"/>
      <c r="D65" s="111"/>
      <c r="E65" s="111"/>
      <c r="F65" s="111"/>
      <c r="G65" s="108" t="s">
        <v>221</v>
      </c>
      <c r="H65" s="109"/>
      <c r="I65" s="110">
        <f>I61*44.87/100/1</f>
        <v>1.2121131944444444E-4</v>
      </c>
      <c r="J65" s="111"/>
      <c r="K65" s="108" t="s">
        <v>222</v>
      </c>
      <c r="L65" s="109"/>
      <c r="M65" s="110">
        <f>M61*47.98/100/1</f>
        <v>1.349992824074074E-4</v>
      </c>
      <c r="N65" s="111"/>
      <c r="O65" s="111"/>
      <c r="P65" s="94"/>
      <c r="Q65" s="104">
        <f>O61*19.91/100</f>
        <v>2.304398148148148E-4</v>
      </c>
      <c r="R65" s="98"/>
    </row>
    <row r="66" spans="2:18" x14ac:dyDescent="0.25">
      <c r="B66" s="98"/>
      <c r="C66" s="111"/>
      <c r="D66" s="111"/>
      <c r="E66" s="111"/>
      <c r="F66" s="111"/>
      <c r="G66" s="111"/>
      <c r="H66" s="111"/>
      <c r="I66" s="111"/>
      <c r="J66" s="111"/>
      <c r="K66" s="111"/>
      <c r="L66" s="111"/>
      <c r="M66" s="111"/>
      <c r="N66" s="111"/>
      <c r="O66" s="108" t="s">
        <v>222</v>
      </c>
      <c r="P66" s="94"/>
      <c r="Q66" s="104">
        <f>Q61*15.43/100/1</f>
        <v>3.5181828703703696E-5</v>
      </c>
      <c r="R66" s="98"/>
    </row>
    <row r="67" spans="2:18" x14ac:dyDescent="0.25">
      <c r="B67" s="98"/>
      <c r="C67" s="111"/>
      <c r="D67" s="111"/>
      <c r="E67" s="111"/>
      <c r="F67" s="111"/>
      <c r="G67" s="111"/>
      <c r="H67" s="111"/>
      <c r="I67" s="111"/>
      <c r="J67" s="111"/>
      <c r="K67" s="111"/>
      <c r="L67" s="111"/>
      <c r="M67" s="111"/>
      <c r="N67" s="111"/>
      <c r="O67" s="111"/>
      <c r="P67" s="111"/>
      <c r="Q67" s="111"/>
      <c r="R67" s="98"/>
    </row>
    <row r="68" spans="2:18" x14ac:dyDescent="0.25">
      <c r="B68" s="98"/>
      <c r="C68" s="100" t="s">
        <v>223</v>
      </c>
      <c r="D68" s="101"/>
      <c r="E68" s="100" t="s">
        <v>217</v>
      </c>
      <c r="F68" s="102"/>
      <c r="G68" s="100" t="s">
        <v>224</v>
      </c>
      <c r="H68" s="101"/>
      <c r="I68" s="100" t="s">
        <v>217</v>
      </c>
      <c r="J68" s="111"/>
      <c r="K68" s="100" t="s">
        <v>225</v>
      </c>
      <c r="L68" s="101"/>
      <c r="M68" s="100" t="s">
        <v>217</v>
      </c>
      <c r="N68" s="102"/>
      <c r="O68" s="100" t="s">
        <v>226</v>
      </c>
      <c r="P68" s="101"/>
      <c r="Q68" s="100" t="s">
        <v>217</v>
      </c>
      <c r="R68" s="98"/>
    </row>
    <row r="69" spans="2:18" x14ac:dyDescent="0.25">
      <c r="B69" s="98"/>
      <c r="C69" s="104">
        <v>1.1574074074074073E-3</v>
      </c>
      <c r="D69" s="104"/>
      <c r="E69" s="104">
        <f>C69*48.58/100</f>
        <v>5.6226851851851848E-4</v>
      </c>
      <c r="F69" s="105"/>
      <c r="G69" s="104">
        <v>1.1574074074074073E-3</v>
      </c>
      <c r="H69" s="104"/>
      <c r="I69" s="104">
        <f>G69*23.59/100</f>
        <v>2.7303240740740738E-4</v>
      </c>
      <c r="J69" s="111"/>
      <c r="K69" s="104">
        <v>1.1574074074074073E-3</v>
      </c>
      <c r="L69" s="104"/>
      <c r="M69" s="104">
        <f>K69*46.6/100</f>
        <v>5.3935185185185184E-4</v>
      </c>
      <c r="N69" s="105"/>
      <c r="O69" s="104">
        <v>1.1574074074074073E-3</v>
      </c>
      <c r="P69" s="104"/>
      <c r="Q69" s="104">
        <f>O69*23.01/100</f>
        <v>2.6631944444444446E-4</v>
      </c>
      <c r="R69" s="98"/>
    </row>
    <row r="70" spans="2:18" x14ac:dyDescent="0.25">
      <c r="B70" s="98"/>
      <c r="C70" s="106"/>
      <c r="D70" s="107"/>
      <c r="E70" s="104">
        <f>C69*51.42/100</f>
        <v>5.9513888888888887E-4</v>
      </c>
      <c r="F70" s="105"/>
      <c r="G70" s="106"/>
      <c r="H70" s="107"/>
      <c r="I70" s="104">
        <f>G69*25.17/100</f>
        <v>2.9131944444444447E-4</v>
      </c>
      <c r="J70" s="111"/>
      <c r="K70" s="106"/>
      <c r="L70" s="107"/>
      <c r="M70" s="104">
        <f>K69*53.4/100</f>
        <v>6.180555555555555E-4</v>
      </c>
      <c r="N70" s="105"/>
      <c r="O70" s="106"/>
      <c r="P70" s="107"/>
      <c r="Q70" s="104">
        <f>O69*25.54/100</f>
        <v>2.956018518518518E-4</v>
      </c>
      <c r="R70" s="98"/>
    </row>
    <row r="71" spans="2:18" x14ac:dyDescent="0.25">
      <c r="B71" s="98"/>
      <c r="C71" s="108" t="s">
        <v>221</v>
      </c>
      <c r="D71" s="109"/>
      <c r="E71" s="110">
        <f>E69*46.11/100/1</f>
        <v>2.5926201388888886E-4</v>
      </c>
      <c r="F71" s="111"/>
      <c r="G71" s="111"/>
      <c r="H71" s="94"/>
      <c r="I71" s="104">
        <f>G69*25.67/100</f>
        <v>2.9710648148148147E-4</v>
      </c>
      <c r="J71" s="111"/>
      <c r="K71" s="108" t="s">
        <v>221</v>
      </c>
      <c r="L71" s="112"/>
      <c r="M71" s="104">
        <f>M69*45.25/100/1</f>
        <v>2.4405671296296296E-4</v>
      </c>
      <c r="N71" s="106"/>
      <c r="O71" s="106"/>
      <c r="P71" s="107"/>
      <c r="Q71" s="104">
        <f>O69*25.78/100</f>
        <v>2.9837962962962961E-4</v>
      </c>
      <c r="R71" s="98"/>
    </row>
    <row r="72" spans="2:18" x14ac:dyDescent="0.25">
      <c r="B72" s="98"/>
      <c r="C72" s="111"/>
      <c r="D72" s="111"/>
      <c r="E72" s="111"/>
      <c r="F72" s="111"/>
      <c r="G72" s="111"/>
      <c r="H72" s="94"/>
      <c r="I72" s="104">
        <f>G69*25.54/100</f>
        <v>2.956018518518518E-4</v>
      </c>
      <c r="J72" s="111"/>
      <c r="K72" s="106"/>
      <c r="L72" s="106"/>
      <c r="M72" s="106"/>
      <c r="N72" s="106"/>
      <c r="O72" s="106"/>
      <c r="P72" s="107"/>
      <c r="Q72" s="104">
        <f>O69*25.67/100</f>
        <v>2.9710648148148147E-4</v>
      </c>
      <c r="R72" s="98"/>
    </row>
    <row r="73" spans="2:18" x14ac:dyDescent="0.25">
      <c r="B73" s="98"/>
      <c r="C73" s="111"/>
      <c r="D73" s="111"/>
      <c r="E73" s="111"/>
      <c r="F73" s="111"/>
      <c r="G73" s="108" t="s">
        <v>221</v>
      </c>
      <c r="H73" s="109"/>
      <c r="I73" s="104">
        <f>I69*45.81/100/1</f>
        <v>1.2507614583333334E-4</v>
      </c>
      <c r="J73" s="111"/>
      <c r="K73" s="111"/>
      <c r="L73" s="111"/>
      <c r="M73" s="111"/>
      <c r="N73" s="111"/>
      <c r="O73" s="108" t="s">
        <v>221</v>
      </c>
      <c r="P73" s="109"/>
      <c r="Q73" s="104">
        <f>Q69*45.39/100/1</f>
        <v>1.2088239583333334E-4</v>
      </c>
      <c r="R73" s="98"/>
    </row>
    <row r="74" spans="2:18" x14ac:dyDescent="0.25">
      <c r="B74" s="98"/>
      <c r="C74" s="111"/>
      <c r="D74" s="111"/>
      <c r="E74" s="111"/>
      <c r="F74" s="111"/>
      <c r="G74" s="111"/>
      <c r="H74" s="111"/>
      <c r="I74" s="111"/>
      <c r="J74" s="111"/>
      <c r="K74" s="111"/>
      <c r="L74" s="111"/>
      <c r="M74" s="111"/>
      <c r="N74" s="111"/>
      <c r="O74" s="111"/>
      <c r="P74" s="111"/>
      <c r="Q74" s="111"/>
      <c r="R74" s="98"/>
    </row>
    <row r="75" spans="2:18" x14ac:dyDescent="0.25">
      <c r="B75" s="98"/>
      <c r="C75" s="100" t="s">
        <v>214</v>
      </c>
      <c r="D75" s="101"/>
      <c r="E75" s="100" t="s">
        <v>217</v>
      </c>
      <c r="F75" s="102"/>
      <c r="G75" s="100" t="s">
        <v>227</v>
      </c>
      <c r="H75" s="101"/>
      <c r="I75" s="100" t="s">
        <v>217</v>
      </c>
      <c r="J75" s="111"/>
      <c r="K75" s="100" t="s">
        <v>228</v>
      </c>
      <c r="L75" s="101"/>
      <c r="M75" s="100" t="s">
        <v>217</v>
      </c>
      <c r="N75" s="102"/>
      <c r="O75" s="100" t="s">
        <v>229</v>
      </c>
      <c r="P75" s="101"/>
      <c r="Q75" s="100" t="s">
        <v>217</v>
      </c>
      <c r="R75" s="98"/>
    </row>
    <row r="76" spans="2:18" x14ac:dyDescent="0.25">
      <c r="B76" s="98"/>
      <c r="C76" s="104">
        <v>1.1574074074074073E-3</v>
      </c>
      <c r="D76" s="104"/>
      <c r="E76" s="104">
        <f>C76*46.66/100</f>
        <v>5.4004629629629628E-4</v>
      </c>
      <c r="F76" s="105"/>
      <c r="G76" s="104">
        <v>1.1574074074074073E-3</v>
      </c>
      <c r="H76" s="104"/>
      <c r="I76" s="104">
        <f>G76*22.21/100</f>
        <v>2.5706018518518515E-4</v>
      </c>
      <c r="J76" s="111"/>
      <c r="K76" s="104">
        <v>1.1574074074074073E-3</v>
      </c>
      <c r="L76" s="104"/>
      <c r="M76" s="104">
        <f>K76*21.59/100</f>
        <v>2.4988425925925927E-4</v>
      </c>
      <c r="N76" s="105"/>
      <c r="O76" s="104">
        <v>1.1574074074074073E-3</v>
      </c>
      <c r="P76" s="104"/>
      <c r="Q76" s="104">
        <f>O76*22.55/100</f>
        <v>2.6099537037037036E-4</v>
      </c>
      <c r="R76" s="98"/>
    </row>
    <row r="77" spans="2:18" x14ac:dyDescent="0.25">
      <c r="B77" s="98"/>
      <c r="C77" s="106"/>
      <c r="D77" s="107"/>
      <c r="E77" s="104">
        <f>C76*53.33/100</f>
        <v>6.1724537037037032E-4</v>
      </c>
      <c r="F77" s="105"/>
      <c r="G77" s="106"/>
      <c r="H77" s="107"/>
      <c r="I77" s="104">
        <f>G76*25.37/100</f>
        <v>2.9363425925925927E-4</v>
      </c>
      <c r="J77" s="111"/>
      <c r="K77" s="106"/>
      <c r="L77" s="107"/>
      <c r="M77" s="104">
        <f>K76*25.23/100</f>
        <v>2.9201388888888886E-4</v>
      </c>
      <c r="N77" s="105"/>
      <c r="O77" s="106"/>
      <c r="P77" s="107"/>
      <c r="Q77" s="104">
        <f>O76*25.61/100</f>
        <v>2.9641203703703703E-4</v>
      </c>
      <c r="R77" s="98"/>
    </row>
    <row r="78" spans="2:18" x14ac:dyDescent="0.25">
      <c r="B78" s="98"/>
      <c r="C78" s="108" t="s">
        <v>221</v>
      </c>
      <c r="D78" s="112"/>
      <c r="E78" s="104">
        <f>E76*45.72/100/1</f>
        <v>2.4690916666666665E-4</v>
      </c>
      <c r="F78" s="106"/>
      <c r="G78" s="106"/>
      <c r="H78" s="107"/>
      <c r="I78" s="104">
        <f>G76*26.04/100</f>
        <v>3.0138888888888885E-4</v>
      </c>
      <c r="J78" s="111"/>
      <c r="K78" s="111"/>
      <c r="L78" s="94"/>
      <c r="M78" s="104">
        <f>K76*29.17/100</f>
        <v>3.3761574074074076E-4</v>
      </c>
      <c r="N78" s="111"/>
      <c r="O78" s="111"/>
      <c r="P78" s="94"/>
      <c r="Q78" s="104">
        <f>O76*28.14/100</f>
        <v>3.2569444444444443E-4</v>
      </c>
      <c r="R78" s="98"/>
    </row>
    <row r="79" spans="2:18" x14ac:dyDescent="0.25">
      <c r="B79" s="98"/>
      <c r="C79" s="106"/>
      <c r="D79" s="106"/>
      <c r="E79" s="106"/>
      <c r="F79" s="106"/>
      <c r="G79" s="106"/>
      <c r="H79" s="107"/>
      <c r="I79" s="104">
        <f>G76*26.23/100</f>
        <v>3.0358796296296291E-4</v>
      </c>
      <c r="J79" s="111"/>
      <c r="K79" s="111"/>
      <c r="L79" s="94"/>
      <c r="M79" s="104">
        <f>K76*24.01/100</f>
        <v>2.7789351851851852E-4</v>
      </c>
      <c r="N79" s="111"/>
      <c r="O79" s="111"/>
      <c r="P79" s="94"/>
      <c r="Q79" s="104">
        <f>O76*23.7/100</f>
        <v>2.7430555555555552E-4</v>
      </c>
      <c r="R79" s="98"/>
    </row>
    <row r="80" spans="2:18" x14ac:dyDescent="0.25">
      <c r="B80" s="98"/>
      <c r="C80" s="106"/>
      <c r="D80" s="106"/>
      <c r="E80" s="106"/>
      <c r="F80" s="106"/>
      <c r="G80" s="108" t="s">
        <v>221</v>
      </c>
      <c r="H80" s="107"/>
      <c r="I80" s="104">
        <f>I76*45.22/100/1</f>
        <v>1.1624261574074072E-4</v>
      </c>
      <c r="J80" s="111"/>
      <c r="K80" s="108" t="s">
        <v>221</v>
      </c>
      <c r="L80" s="94"/>
      <c r="M80" s="104">
        <f>M76*44.85/100/1</f>
        <v>1.1207309027777779E-4</v>
      </c>
      <c r="N80" s="111"/>
      <c r="O80" s="108" t="s">
        <v>222</v>
      </c>
      <c r="P80" s="94"/>
      <c r="Q80" s="104">
        <f>Q76*46.12/100/1</f>
        <v>1.203710648148148E-4</v>
      </c>
      <c r="R80" s="98"/>
    </row>
    <row r="81" spans="1:18" x14ac:dyDescent="0.25">
      <c r="B81" s="98"/>
      <c r="C81" s="111"/>
      <c r="D81" s="111"/>
      <c r="E81" s="111"/>
      <c r="F81" s="111"/>
      <c r="G81" s="111"/>
      <c r="H81" s="111"/>
      <c r="I81" s="111"/>
      <c r="J81" s="111"/>
      <c r="K81" s="111"/>
      <c r="L81" s="111"/>
      <c r="M81" s="111"/>
      <c r="N81" s="111"/>
      <c r="O81" s="111"/>
      <c r="P81" s="111"/>
      <c r="Q81" s="111"/>
      <c r="R81" s="98"/>
    </row>
    <row r="82" spans="1:18" x14ac:dyDescent="0.25">
      <c r="C82" s="94"/>
      <c r="D82" s="94"/>
      <c r="E82" s="94"/>
      <c r="F82" s="94"/>
      <c r="G82" s="94"/>
      <c r="H82" s="94"/>
      <c r="I82" s="94"/>
      <c r="J82" s="94"/>
      <c r="K82" s="94"/>
      <c r="L82" s="94"/>
      <c r="M82" s="94"/>
      <c r="N82" s="94"/>
      <c r="O82" s="94"/>
      <c r="P82" s="94"/>
      <c r="Q82" s="94"/>
    </row>
    <row r="83" spans="1:18" ht="15.75" thickBot="1" x14ac:dyDescent="0.3">
      <c r="B83" s="113"/>
      <c r="C83" s="114"/>
      <c r="D83" s="114"/>
      <c r="E83" s="114"/>
      <c r="F83" s="114"/>
      <c r="G83" s="114"/>
      <c r="H83" s="114"/>
      <c r="I83" s="114"/>
      <c r="J83" s="114"/>
      <c r="K83" s="114"/>
      <c r="L83" s="114"/>
      <c r="M83" s="114"/>
      <c r="N83" s="114"/>
      <c r="O83" s="114"/>
      <c r="P83" s="114"/>
      <c r="Q83" s="114"/>
      <c r="R83" s="113"/>
    </row>
    <row r="84" spans="1:18" ht="15.75" thickBot="1" x14ac:dyDescent="0.3">
      <c r="A84" s="232" t="s">
        <v>230</v>
      </c>
      <c r="B84" s="113"/>
      <c r="C84" s="100" t="s">
        <v>213</v>
      </c>
      <c r="D84" s="101"/>
      <c r="E84" s="100" t="s">
        <v>217</v>
      </c>
      <c r="F84" s="115"/>
      <c r="G84" s="100" t="s">
        <v>218</v>
      </c>
      <c r="H84" s="101"/>
      <c r="I84" s="100" t="s">
        <v>217</v>
      </c>
      <c r="J84" s="115"/>
      <c r="K84" s="100" t="s">
        <v>219</v>
      </c>
      <c r="L84" s="101"/>
      <c r="M84" s="100" t="s">
        <v>217</v>
      </c>
      <c r="N84" s="115"/>
      <c r="O84" s="100" t="s">
        <v>231</v>
      </c>
      <c r="P84" s="101"/>
      <c r="Q84" s="100" t="s">
        <v>217</v>
      </c>
      <c r="R84" s="113"/>
    </row>
    <row r="85" spans="1:18" x14ac:dyDescent="0.25">
      <c r="B85" s="116"/>
      <c r="C85" s="104">
        <v>1.1574074074074073E-3</v>
      </c>
      <c r="D85" s="104"/>
      <c r="E85" s="104">
        <f>C85*47.97/100</f>
        <v>5.5520833333333333E-4</v>
      </c>
      <c r="F85" s="117"/>
      <c r="G85" s="104">
        <v>1.1574074074074073E-3</v>
      </c>
      <c r="H85" s="104"/>
      <c r="I85" s="104">
        <f>G85*23.43/100</f>
        <v>2.7118055555555554E-4</v>
      </c>
      <c r="J85" s="117"/>
      <c r="K85" s="104">
        <v>1.1574074074074073E-3</v>
      </c>
      <c r="L85" s="104"/>
      <c r="M85" s="104">
        <f>K85*24.15/100</f>
        <v>2.7951388888888888E-4</v>
      </c>
      <c r="N85" s="117"/>
      <c r="O85" s="104">
        <v>1.1574074074074073E-3</v>
      </c>
      <c r="P85" s="104"/>
      <c r="Q85" s="104">
        <f>O85*24.5/100</f>
        <v>2.8356481481481478E-4</v>
      </c>
      <c r="R85" s="116"/>
    </row>
    <row r="86" spans="1:18" ht="15.75" x14ac:dyDescent="0.25">
      <c r="A86" s="92"/>
      <c r="B86" s="116"/>
      <c r="C86" s="118"/>
      <c r="D86" s="107"/>
      <c r="E86" s="104">
        <f>C85*51.97/100</f>
        <v>6.0150462962962957E-4</v>
      </c>
      <c r="F86" s="117"/>
      <c r="G86" s="118"/>
      <c r="H86" s="107"/>
      <c r="I86" s="104">
        <f>G85*25.26/100</f>
        <v>2.9236111111111113E-4</v>
      </c>
      <c r="J86" s="117"/>
      <c r="K86" s="118"/>
      <c r="L86" s="107"/>
      <c r="M86" s="104">
        <f>K85*25.35/100</f>
        <v>2.9340277777777779E-4</v>
      </c>
      <c r="N86" s="117"/>
      <c r="O86" s="118"/>
      <c r="P86" s="107"/>
      <c r="Q86" s="104">
        <f>O85*25.25/100</f>
        <v>2.9224537037037034E-4</v>
      </c>
      <c r="R86" s="116"/>
    </row>
    <row r="87" spans="1:18" x14ac:dyDescent="0.25">
      <c r="B87" s="113"/>
      <c r="C87" s="108" t="s">
        <v>221</v>
      </c>
      <c r="D87" s="112"/>
      <c r="E87" s="104">
        <f>E85*45.55/100/1</f>
        <v>2.5289739583333332E-4</v>
      </c>
      <c r="F87" s="118"/>
      <c r="G87" s="118"/>
      <c r="H87" s="107"/>
      <c r="I87" s="104">
        <f>G85*25.7/100</f>
        <v>2.9745370370370364E-4</v>
      </c>
      <c r="J87" s="118"/>
      <c r="K87" s="118"/>
      <c r="L87" s="107"/>
      <c r="M87" s="104">
        <f>K85*25.42/100</f>
        <v>2.9421296296296297E-4</v>
      </c>
      <c r="N87" s="118"/>
      <c r="O87" s="118"/>
      <c r="P87" s="107"/>
      <c r="Q87" s="104">
        <f>O85*25.3/100</f>
        <v>2.9282407407407404E-4</v>
      </c>
      <c r="R87" s="113"/>
    </row>
    <row r="88" spans="1:18" x14ac:dyDescent="0.25">
      <c r="B88" s="113"/>
      <c r="C88" s="118"/>
      <c r="D88" s="118"/>
      <c r="E88" s="118"/>
      <c r="F88" s="118"/>
      <c r="G88" s="118"/>
      <c r="H88" s="107"/>
      <c r="I88" s="104">
        <f>G85*25.6/100</f>
        <v>2.9629629629629629E-4</v>
      </c>
      <c r="J88" s="118"/>
      <c r="K88" s="118"/>
      <c r="L88" s="107"/>
      <c r="M88" s="104">
        <f>K85*25.05/100</f>
        <v>2.8993055555555554E-4</v>
      </c>
      <c r="N88" s="118"/>
      <c r="O88" s="118"/>
      <c r="P88" s="107"/>
      <c r="Q88" s="104">
        <f>O85*24.98/100</f>
        <v>2.8912037037037036E-4</v>
      </c>
      <c r="R88" s="113"/>
    </row>
    <row r="89" spans="1:18" x14ac:dyDescent="0.25">
      <c r="B89" s="113"/>
      <c r="C89" s="118"/>
      <c r="D89" s="118"/>
      <c r="E89" s="118"/>
      <c r="F89" s="118"/>
      <c r="G89" s="108" t="s">
        <v>221</v>
      </c>
      <c r="H89" s="112"/>
      <c r="I89" s="104">
        <f>I85*45.83/100/1</f>
        <v>1.2428204861111109E-4</v>
      </c>
      <c r="J89" s="118"/>
      <c r="K89" s="108" t="s">
        <v>222</v>
      </c>
      <c r="L89" s="112"/>
      <c r="M89" s="104">
        <f>M85*48.31/100/1</f>
        <v>1.3503315972222222E-4</v>
      </c>
      <c r="N89" s="118"/>
      <c r="O89" s="108" t="s">
        <v>222</v>
      </c>
      <c r="P89" s="112"/>
      <c r="Q89" s="104">
        <f>Q85*24.03/100/1</f>
        <v>6.8140625000000005E-5</v>
      </c>
      <c r="R89" s="113"/>
    </row>
    <row r="90" spans="1:18" x14ac:dyDescent="0.25">
      <c r="B90" s="113"/>
      <c r="C90" s="118"/>
      <c r="D90" s="118"/>
      <c r="E90" s="118"/>
      <c r="F90" s="118"/>
      <c r="G90" s="118"/>
      <c r="H90" s="118"/>
      <c r="I90" s="118"/>
      <c r="J90" s="118"/>
      <c r="K90" s="118"/>
      <c r="L90" s="118"/>
      <c r="M90" s="118"/>
      <c r="N90" s="118"/>
      <c r="O90" s="118"/>
      <c r="P90" s="118"/>
      <c r="Q90" s="118"/>
      <c r="R90" s="113"/>
    </row>
    <row r="91" spans="1:18" x14ac:dyDescent="0.25">
      <c r="B91" s="113"/>
      <c r="C91" s="100" t="s">
        <v>223</v>
      </c>
      <c r="D91" s="101"/>
      <c r="E91" s="100" t="s">
        <v>217</v>
      </c>
      <c r="F91" s="115"/>
      <c r="G91" s="100" t="s">
        <v>224</v>
      </c>
      <c r="H91" s="101"/>
      <c r="I91" s="100" t="s">
        <v>217</v>
      </c>
      <c r="J91" s="115"/>
      <c r="K91" s="100" t="s">
        <v>225</v>
      </c>
      <c r="L91" s="101"/>
      <c r="M91" s="100" t="s">
        <v>217</v>
      </c>
      <c r="N91" s="115"/>
      <c r="O91" s="100" t="s">
        <v>226</v>
      </c>
      <c r="P91" s="101"/>
      <c r="Q91" s="100" t="s">
        <v>217</v>
      </c>
      <c r="R91" s="113"/>
    </row>
    <row r="92" spans="1:18" x14ac:dyDescent="0.25">
      <c r="B92" s="113"/>
      <c r="C92" s="104">
        <v>1.1574074074074073E-3</v>
      </c>
      <c r="D92" s="104"/>
      <c r="E92" s="104">
        <f>C92*48.51/100</f>
        <v>5.614583333333333E-4</v>
      </c>
      <c r="F92" s="117"/>
      <c r="G92" s="104">
        <v>1.1574074074074073E-3</v>
      </c>
      <c r="H92" s="104"/>
      <c r="I92" s="104">
        <f>G92*23.54/100</f>
        <v>2.7245370370370368E-4</v>
      </c>
      <c r="J92" s="118"/>
      <c r="K92" s="104">
        <v>1.1574074074074073E-3</v>
      </c>
      <c r="L92" s="104"/>
      <c r="M92" s="104">
        <f>K92*46.88/100</f>
        <v>5.4259259259259256E-4</v>
      </c>
      <c r="N92" s="117"/>
      <c r="O92" s="104">
        <v>1.1574074074074073E-3</v>
      </c>
      <c r="P92" s="104"/>
      <c r="Q92" s="104">
        <f>O92*23.11/100</f>
        <v>2.6747685185185186E-4</v>
      </c>
      <c r="R92" s="113"/>
    </row>
    <row r="93" spans="1:18" x14ac:dyDescent="0.25">
      <c r="B93" s="113"/>
      <c r="C93" s="118"/>
      <c r="D93" s="107"/>
      <c r="E93" s="104">
        <f>C92*51.49/100</f>
        <v>5.9594907407407405E-4</v>
      </c>
      <c r="F93" s="117"/>
      <c r="G93" s="118"/>
      <c r="H93" s="107"/>
      <c r="I93" s="104">
        <f>G92*25.19/100</f>
        <v>2.9155092592592595E-4</v>
      </c>
      <c r="J93" s="118"/>
      <c r="K93" s="118"/>
      <c r="L93" s="107"/>
      <c r="M93" s="104">
        <f>K92*53.12/100</f>
        <v>6.1481481481481478E-4</v>
      </c>
      <c r="N93" s="117"/>
      <c r="O93" s="118"/>
      <c r="P93" s="107"/>
      <c r="Q93" s="104">
        <f>O92*25.41/100</f>
        <v>2.9409722222222218E-4</v>
      </c>
      <c r="R93" s="113"/>
    </row>
    <row r="94" spans="1:18" x14ac:dyDescent="0.25">
      <c r="B94" s="113"/>
      <c r="C94" s="108" t="s">
        <v>221</v>
      </c>
      <c r="D94" s="112"/>
      <c r="E94" s="104">
        <f>E92*46.09/100/1</f>
        <v>2.5877614583333331E-4</v>
      </c>
      <c r="F94" s="118"/>
      <c r="G94" s="118"/>
      <c r="H94" s="107"/>
      <c r="I94" s="104">
        <f>G92*25.55/100</f>
        <v>2.9571759259259259E-4</v>
      </c>
      <c r="J94" s="118"/>
      <c r="K94" s="108" t="s">
        <v>221</v>
      </c>
      <c r="L94" s="112"/>
      <c r="M94" s="104">
        <f>M92*45.73/100/1</f>
        <v>2.4812759259259257E-4</v>
      </c>
      <c r="N94" s="118"/>
      <c r="O94" s="118"/>
      <c r="P94" s="107"/>
      <c r="Q94" s="104">
        <f>O92*25.64/100</f>
        <v>2.9675925925925925E-4</v>
      </c>
      <c r="R94" s="113"/>
    </row>
    <row r="95" spans="1:18" x14ac:dyDescent="0.25">
      <c r="B95" s="113"/>
      <c r="C95" s="118"/>
      <c r="D95" s="118"/>
      <c r="E95" s="118"/>
      <c r="F95" s="118"/>
      <c r="G95" s="118"/>
      <c r="H95" s="107"/>
      <c r="I95" s="104">
        <f>G92*25.72/100</f>
        <v>2.9768518518518517E-4</v>
      </c>
      <c r="J95" s="118"/>
      <c r="K95" s="118"/>
      <c r="L95" s="118"/>
      <c r="M95" s="118"/>
      <c r="N95" s="118"/>
      <c r="O95" s="118"/>
      <c r="P95" s="107"/>
      <c r="Q95" s="104">
        <f>O92*25.84/100</f>
        <v>2.9907407407407405E-4</v>
      </c>
      <c r="R95" s="113"/>
    </row>
    <row r="96" spans="1:18" x14ac:dyDescent="0.25">
      <c r="B96" s="113"/>
      <c r="C96" s="118"/>
      <c r="D96" s="118"/>
      <c r="E96" s="118"/>
      <c r="F96" s="118"/>
      <c r="G96" s="108" t="s">
        <v>221</v>
      </c>
      <c r="H96" s="112"/>
      <c r="I96" s="104">
        <f>I92*46.36/100/1</f>
        <v>1.2630953703703703E-4</v>
      </c>
      <c r="J96" s="118"/>
      <c r="K96" s="118"/>
      <c r="L96" s="118"/>
      <c r="M96" s="118"/>
      <c r="N96" s="118"/>
      <c r="O96" s="108" t="s">
        <v>221</v>
      </c>
      <c r="P96" s="112"/>
      <c r="Q96" s="104">
        <f>Q92*45.62/100/1</f>
        <v>1.220229398148148E-4</v>
      </c>
      <c r="R96" s="113"/>
    </row>
    <row r="97" spans="2:18" x14ac:dyDescent="0.25">
      <c r="B97" s="113"/>
      <c r="C97" s="118"/>
      <c r="D97" s="118"/>
      <c r="E97" s="118"/>
      <c r="F97" s="118"/>
      <c r="G97" s="118"/>
      <c r="H97" s="118"/>
      <c r="I97" s="118"/>
      <c r="J97" s="118"/>
      <c r="K97" s="118"/>
      <c r="L97" s="118"/>
      <c r="M97" s="118"/>
      <c r="N97" s="118"/>
      <c r="O97" s="118"/>
      <c r="P97" s="118"/>
      <c r="Q97" s="118"/>
      <c r="R97" s="113"/>
    </row>
    <row r="98" spans="2:18" x14ac:dyDescent="0.25">
      <c r="B98" s="113"/>
      <c r="C98" s="100" t="s">
        <v>214</v>
      </c>
      <c r="D98" s="101"/>
      <c r="E98" s="100" t="s">
        <v>217</v>
      </c>
      <c r="F98" s="115"/>
      <c r="G98" s="100" t="s">
        <v>227</v>
      </c>
      <c r="H98" s="101"/>
      <c r="I98" s="100" t="s">
        <v>217</v>
      </c>
      <c r="J98" s="118"/>
      <c r="K98" s="100" t="s">
        <v>228</v>
      </c>
      <c r="L98" s="101"/>
      <c r="M98" s="100" t="s">
        <v>217</v>
      </c>
      <c r="N98" s="115"/>
      <c r="O98" s="100" t="s">
        <v>229</v>
      </c>
      <c r="P98" s="101"/>
      <c r="Q98" s="100" t="s">
        <v>217</v>
      </c>
      <c r="R98" s="113"/>
    </row>
    <row r="99" spans="2:18" x14ac:dyDescent="0.25">
      <c r="B99" s="113"/>
      <c r="C99" s="104">
        <v>1.1574074074074073E-3</v>
      </c>
      <c r="D99" s="104"/>
      <c r="E99" s="104">
        <f>C99*46.67/100</f>
        <v>5.4016203703703702E-4</v>
      </c>
      <c r="F99" s="117"/>
      <c r="G99" s="104">
        <v>1.1574074074074073E-3</v>
      </c>
      <c r="H99" s="104"/>
      <c r="I99" s="104">
        <f>G99*22.58/100</f>
        <v>2.6134259259259258E-4</v>
      </c>
      <c r="J99" s="118"/>
      <c r="K99" s="104">
        <v>1.1574074074074073E-3</v>
      </c>
      <c r="L99" s="104"/>
      <c r="M99" s="104">
        <f>K99*21.61/100</f>
        <v>2.5011574074074069E-4</v>
      </c>
      <c r="N99" s="117"/>
      <c r="O99" s="104">
        <v>1.1574074074074073E-3</v>
      </c>
      <c r="P99" s="104"/>
      <c r="Q99" s="104">
        <f>O99*22.98/100</f>
        <v>2.6597222222222218E-4</v>
      </c>
      <c r="R99" s="113"/>
    </row>
    <row r="100" spans="2:18" x14ac:dyDescent="0.25">
      <c r="B100" s="113"/>
      <c r="C100" s="118"/>
      <c r="D100" s="107"/>
      <c r="E100" s="104">
        <f>C99*53.33/100</f>
        <v>6.1724537037037032E-4</v>
      </c>
      <c r="F100" s="117"/>
      <c r="G100" s="118"/>
      <c r="H100" s="107"/>
      <c r="I100" s="104">
        <f>G99*25.36/100</f>
        <v>2.9351851851851853E-4</v>
      </c>
      <c r="J100" s="118"/>
      <c r="K100" s="118"/>
      <c r="L100" s="107"/>
      <c r="M100" s="104">
        <f>K99*25.43/100</f>
        <v>2.9432870370370371E-4</v>
      </c>
      <c r="N100" s="117"/>
      <c r="O100" s="118"/>
      <c r="P100" s="107"/>
      <c r="Q100" s="104">
        <f>O99*25.73/100</f>
        <v>2.9780092592592591E-4</v>
      </c>
      <c r="R100" s="113"/>
    </row>
    <row r="101" spans="2:18" x14ac:dyDescent="0.25">
      <c r="B101" s="113"/>
      <c r="C101" s="108" t="s">
        <v>221</v>
      </c>
      <c r="D101" s="112"/>
      <c r="E101" s="104">
        <f>E99*45.8/100/1</f>
        <v>2.4739421296296292E-4</v>
      </c>
      <c r="F101" s="118"/>
      <c r="G101" s="118"/>
      <c r="H101" s="107"/>
      <c r="I101" s="104">
        <f>G99*25.91/100</f>
        <v>2.9988425925925923E-4</v>
      </c>
      <c r="J101" s="118"/>
      <c r="K101" s="118"/>
      <c r="L101" s="107"/>
      <c r="M101" s="104">
        <f>K99*29.02/100</f>
        <v>3.358796296296296E-4</v>
      </c>
      <c r="N101" s="118"/>
      <c r="O101" s="118"/>
      <c r="P101" s="107"/>
      <c r="Q101" s="104">
        <f>O99*28.42/100</f>
        <v>3.2893518518518515E-4</v>
      </c>
      <c r="R101" s="113"/>
    </row>
    <row r="102" spans="2:18" x14ac:dyDescent="0.25">
      <c r="B102" s="113"/>
      <c r="C102" s="118"/>
      <c r="D102" s="118"/>
      <c r="E102" s="118"/>
      <c r="F102" s="118"/>
      <c r="G102" s="118"/>
      <c r="H102" s="107"/>
      <c r="I102" s="104">
        <f>G99*26.17/100</f>
        <v>3.0289351851851853E-4</v>
      </c>
      <c r="J102" s="118"/>
      <c r="K102" s="118"/>
      <c r="L102" s="107"/>
      <c r="M102" s="104">
        <f>K99*23.94/100</f>
        <v>2.7708333333333334E-4</v>
      </c>
      <c r="N102" s="118"/>
      <c r="O102" s="118"/>
      <c r="P102" s="107"/>
      <c r="Q102" s="104">
        <f>O99*22.87/100</f>
        <v>2.646990740740741E-4</v>
      </c>
      <c r="R102" s="113"/>
    </row>
    <row r="103" spans="2:18" x14ac:dyDescent="0.25">
      <c r="B103" s="113"/>
      <c r="C103" s="113"/>
      <c r="D103" s="113"/>
      <c r="E103" s="113"/>
      <c r="F103" s="113"/>
      <c r="G103" s="108" t="s">
        <v>221</v>
      </c>
      <c r="H103" s="19"/>
      <c r="I103" s="104">
        <f>I99*45.55/100/1</f>
        <v>1.1904155092592591E-4</v>
      </c>
      <c r="J103" s="113"/>
      <c r="K103" s="108" t="s">
        <v>221</v>
      </c>
      <c r="L103" s="19"/>
      <c r="M103" s="104">
        <f>M99*45.69/100/1</f>
        <v>1.1427788194444441E-4</v>
      </c>
      <c r="N103" s="113"/>
      <c r="O103" s="108" t="s">
        <v>222</v>
      </c>
      <c r="P103" s="19"/>
      <c r="Q103" s="104">
        <f>Q99*46.84/100/1</f>
        <v>1.2458138888888888E-4</v>
      </c>
      <c r="R103" s="113"/>
    </row>
    <row r="104" spans="2:18" x14ac:dyDescent="0.25">
      <c r="B104" s="113"/>
      <c r="C104" s="113"/>
      <c r="D104" s="113"/>
      <c r="E104" s="113"/>
      <c r="F104" s="113"/>
      <c r="G104" s="113"/>
      <c r="H104" s="113"/>
      <c r="I104" s="113"/>
      <c r="J104" s="113"/>
      <c r="K104" s="113"/>
      <c r="L104" s="113"/>
      <c r="M104" s="113"/>
      <c r="N104" s="113"/>
      <c r="O104" s="113"/>
      <c r="P104" s="113"/>
      <c r="Q104" s="113"/>
      <c r="R104" s="113"/>
    </row>
  </sheetData>
  <protectedRanges>
    <protectedRange sqref="C69" name="Range5"/>
    <protectedRange sqref="K61" name="Range3"/>
    <protectedRange sqref="C61" name="Range1"/>
    <protectedRange sqref="G61" name="Range2"/>
    <protectedRange sqref="O61" name="Range4"/>
    <protectedRange sqref="G69 K69 O69 C76 G76 K76 O76 C85 G85 K85 O85 C92 G92 K92 O92 C99 G99 K99 O99 I73 M71 Q73 E78 I80 M80 Q80 E87 I89 M89 Q89 E94 I96 M94 Q96 E101 I103 M103 Q103" name="Range6"/>
  </protectedRange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8D31B-F77B-4286-A49A-63F66423FDB3}">
  <sheetPr>
    <tabColor theme="5" tint="0.39997558519241921"/>
  </sheetPr>
  <dimension ref="A1:D28"/>
  <sheetViews>
    <sheetView topLeftCell="A7" workbookViewId="0">
      <selection activeCell="A16" sqref="A16:D16"/>
    </sheetView>
  </sheetViews>
  <sheetFormatPr defaultRowHeight="15" x14ac:dyDescent="0.25"/>
  <sheetData>
    <row r="1" spans="1:4" ht="15.75" thickBot="1" x14ac:dyDescent="0.3">
      <c r="A1" s="574" t="s">
        <v>82</v>
      </c>
      <c r="B1" s="575"/>
      <c r="C1" s="575"/>
      <c r="D1" s="576"/>
    </row>
    <row r="2" spans="1:4" x14ac:dyDescent="0.25">
      <c r="A2" s="580"/>
      <c r="B2" s="581"/>
      <c r="C2" s="581"/>
      <c r="D2" s="582"/>
    </row>
    <row r="3" spans="1:4" x14ac:dyDescent="0.25">
      <c r="A3" s="577" t="s">
        <v>18</v>
      </c>
      <c r="B3" s="578"/>
      <c r="C3" s="578"/>
      <c r="D3" s="579"/>
    </row>
    <row r="4" spans="1:4" x14ac:dyDescent="0.25">
      <c r="A4" s="583" t="s">
        <v>404</v>
      </c>
      <c r="B4" s="584"/>
      <c r="C4" s="584"/>
      <c r="D4" s="585"/>
    </row>
    <row r="5" spans="1:4" x14ac:dyDescent="0.25">
      <c r="A5" s="577" t="s">
        <v>83</v>
      </c>
      <c r="B5" s="578"/>
      <c r="C5" s="578"/>
      <c r="D5" s="579"/>
    </row>
    <row r="6" spans="1:4" x14ac:dyDescent="0.25">
      <c r="A6" s="577" t="s">
        <v>84</v>
      </c>
      <c r="B6" s="578"/>
      <c r="C6" s="578"/>
      <c r="D6" s="579"/>
    </row>
    <row r="7" spans="1:4" x14ac:dyDescent="0.25">
      <c r="A7" s="577" t="s">
        <v>85</v>
      </c>
      <c r="B7" s="578"/>
      <c r="C7" s="578"/>
      <c r="D7" s="579"/>
    </row>
    <row r="8" spans="1:4" x14ac:dyDescent="0.25">
      <c r="A8" s="577" t="s">
        <v>86</v>
      </c>
      <c r="B8" s="578"/>
      <c r="C8" s="578"/>
      <c r="D8" s="579"/>
    </row>
    <row r="9" spans="1:4" x14ac:dyDescent="0.25">
      <c r="A9" s="577" t="s">
        <v>87</v>
      </c>
      <c r="B9" s="578"/>
      <c r="C9" s="578"/>
      <c r="D9" s="579"/>
    </row>
    <row r="10" spans="1:4" x14ac:dyDescent="0.25">
      <c r="A10" s="577" t="s">
        <v>88</v>
      </c>
      <c r="B10" s="578"/>
      <c r="C10" s="578"/>
      <c r="D10" s="579"/>
    </row>
    <row r="11" spans="1:4" x14ac:dyDescent="0.25">
      <c r="A11" s="577" t="s">
        <v>89</v>
      </c>
      <c r="B11" s="578"/>
      <c r="C11" s="578"/>
      <c r="D11" s="579"/>
    </row>
    <row r="12" spans="1:4" x14ac:dyDescent="0.25">
      <c r="A12" s="577" t="s">
        <v>90</v>
      </c>
      <c r="B12" s="578"/>
      <c r="C12" s="578"/>
      <c r="D12" s="579"/>
    </row>
    <row r="13" spans="1:4" x14ac:dyDescent="0.25">
      <c r="A13" s="577" t="s">
        <v>91</v>
      </c>
      <c r="B13" s="578"/>
      <c r="C13" s="578"/>
      <c r="D13" s="579"/>
    </row>
    <row r="14" spans="1:4" x14ac:dyDescent="0.25">
      <c r="A14" s="577" t="s">
        <v>92</v>
      </c>
      <c r="B14" s="578"/>
      <c r="C14" s="578"/>
      <c r="D14" s="579"/>
    </row>
    <row r="15" spans="1:4" x14ac:dyDescent="0.25">
      <c r="A15" s="577" t="s">
        <v>93</v>
      </c>
      <c r="B15" s="578"/>
      <c r="C15" s="578"/>
      <c r="D15" s="579"/>
    </row>
    <row r="16" spans="1:4" x14ac:dyDescent="0.25">
      <c r="A16" s="577" t="s">
        <v>94</v>
      </c>
      <c r="B16" s="578"/>
      <c r="C16" s="578"/>
      <c r="D16" s="579"/>
    </row>
    <row r="17" spans="1:4" x14ac:dyDescent="0.25">
      <c r="A17" s="577" t="s">
        <v>95</v>
      </c>
      <c r="B17" s="578"/>
      <c r="C17" s="578"/>
      <c r="D17" s="579"/>
    </row>
    <row r="18" spans="1:4" x14ac:dyDescent="0.25">
      <c r="A18" s="577" t="s">
        <v>96</v>
      </c>
      <c r="B18" s="578"/>
      <c r="C18" s="578"/>
      <c r="D18" s="579"/>
    </row>
    <row r="19" spans="1:4" x14ac:dyDescent="0.25">
      <c r="A19" s="577" t="s">
        <v>97</v>
      </c>
      <c r="B19" s="578"/>
      <c r="C19" s="578"/>
      <c r="D19" s="579"/>
    </row>
    <row r="20" spans="1:4" x14ac:dyDescent="0.25">
      <c r="A20" s="577" t="s">
        <v>98</v>
      </c>
      <c r="B20" s="578"/>
      <c r="C20" s="578"/>
      <c r="D20" s="579"/>
    </row>
    <row r="21" spans="1:4" x14ac:dyDescent="0.25">
      <c r="A21" s="577" t="s">
        <v>99</v>
      </c>
      <c r="B21" s="578"/>
      <c r="C21" s="578"/>
      <c r="D21" s="579"/>
    </row>
    <row r="22" spans="1:4" x14ac:dyDescent="0.25">
      <c r="A22" s="577" t="s">
        <v>100</v>
      </c>
      <c r="B22" s="578"/>
      <c r="C22" s="578"/>
      <c r="D22" s="579"/>
    </row>
    <row r="23" spans="1:4" x14ac:dyDescent="0.25">
      <c r="A23" s="577" t="s">
        <v>403</v>
      </c>
      <c r="B23" s="578"/>
      <c r="C23" s="578"/>
      <c r="D23" s="579"/>
    </row>
    <row r="24" spans="1:4" x14ac:dyDescent="0.25">
      <c r="A24" s="577" t="s">
        <v>101</v>
      </c>
      <c r="B24" s="578"/>
      <c r="C24" s="578"/>
      <c r="D24" s="579"/>
    </row>
    <row r="25" spans="1:4" x14ac:dyDescent="0.25">
      <c r="A25" s="577" t="s">
        <v>102</v>
      </c>
      <c r="B25" s="578"/>
      <c r="C25" s="578"/>
      <c r="D25" s="579"/>
    </row>
    <row r="26" spans="1:4" x14ac:dyDescent="0.25">
      <c r="A26" s="577" t="s">
        <v>103</v>
      </c>
      <c r="B26" s="578"/>
      <c r="C26" s="578"/>
      <c r="D26" s="579"/>
    </row>
    <row r="27" spans="1:4" x14ac:dyDescent="0.25">
      <c r="A27" s="577" t="s">
        <v>104</v>
      </c>
      <c r="B27" s="578"/>
      <c r="C27" s="578"/>
      <c r="D27" s="579"/>
    </row>
    <row r="28" spans="1:4" ht="15.75" thickBot="1" x14ac:dyDescent="0.3">
      <c r="A28" s="586" t="s">
        <v>105</v>
      </c>
      <c r="B28" s="587"/>
      <c r="C28" s="587"/>
      <c r="D28" s="588"/>
    </row>
  </sheetData>
  <mergeCells count="28">
    <mergeCell ref="A7:D7"/>
    <mergeCell ref="A8:D8"/>
    <mergeCell ref="A28:D28"/>
    <mergeCell ref="A21:D21"/>
    <mergeCell ref="A26:D26"/>
    <mergeCell ref="A27:D27"/>
    <mergeCell ref="A17:D17"/>
    <mergeCell ref="A18:D18"/>
    <mergeCell ref="A19:D19"/>
    <mergeCell ref="A20:D20"/>
    <mergeCell ref="A22:D22"/>
    <mergeCell ref="A23:D23"/>
    <mergeCell ref="A1:D1"/>
    <mergeCell ref="A5:D5"/>
    <mergeCell ref="A2:D2"/>
    <mergeCell ref="A24:D24"/>
    <mergeCell ref="A25:D25"/>
    <mergeCell ref="A13:D13"/>
    <mergeCell ref="A14:D14"/>
    <mergeCell ref="A15:D15"/>
    <mergeCell ref="A16:D16"/>
    <mergeCell ref="A4:D4"/>
    <mergeCell ref="A11:D11"/>
    <mergeCell ref="A12:D12"/>
    <mergeCell ref="A9:D9"/>
    <mergeCell ref="A10:D10"/>
    <mergeCell ref="A3:D3"/>
    <mergeCell ref="A6:D6"/>
  </mergeCells>
  <hyperlinks>
    <hyperlink ref="A5:D5" r:id="rId1" display="Tokyo Olympic selection policy" xr:uid="{A77FEB38-DF5C-4F4A-8E92-1B4065783A97}"/>
    <hyperlink ref="A27:D27" r:id="rId2" display="Past AquaBlacks" xr:uid="{9E1B161B-4FC4-4479-A6B0-4CCF55D31073}"/>
    <hyperlink ref="A26:D26" r:id="rId3" display="AquaBlacks" xr:uid="{DE526948-E247-43E4-8B4B-7D950A988976}"/>
    <hyperlink ref="A28:D28" r:id="rId4" display="NZ swimming alumni" xr:uid="{3C9E29EF-C5A7-4749-A631-D4428CFB22F8}"/>
    <hyperlink ref="A25:D25" r:id="rId5" display="Para Swimming" xr:uid="{BDC46DE2-CCC3-4769-B109-512659B98CF7}"/>
    <hyperlink ref="A24:D24" r:id="rId6" display="Rio Olympics 2016" xr:uid="{23D72505-DF14-45A2-8A03-1CCA7C74BC13}"/>
    <hyperlink ref="A21:D21" r:id="rId7" display="World Champs Open Water 2019" xr:uid="{D97BB703-6AA7-4101-ABF1-60D5352BC761}"/>
    <hyperlink ref="A22:D22" r:id="rId8" display="World LC Champs 2019" xr:uid="{5E5407EF-26DA-41DB-89A6-4292AAA08B51}"/>
    <hyperlink ref="A20:D20" r:id="rId9" display="Commonwealth Games 2018" xr:uid="{1D4CE1E2-A69D-47B8-A990-CD1825D6EA9F}"/>
    <hyperlink ref="A19:D19" r:id="rId10" display="World SC Champs 2018" xr:uid="{FD529CEC-F597-4FE2-BC08-9D73E1E41389}"/>
    <hyperlink ref="A18:D18" r:id="rId11" display="Oceania Champs 2018" xr:uid="{A7476910-C307-4F5F-8892-FD405906E7F9}"/>
    <hyperlink ref="A17:D17" r:id="rId12" display="World Junior Champs 2019" xr:uid="{31ADA96E-3B18-4C1A-8E81-6F84FA9DAA8C}"/>
    <hyperlink ref="A16:D16" r:id="rId13" display="Junior Pan Pacs 2018" xr:uid="{8658B2F3-7958-414D-A3CF-232CAC5309A3}"/>
    <hyperlink ref="A15:D15" r:id="rId14" display="Swimswam" xr:uid="{60C237D2-C905-47AE-889B-AFDDEDA27F81}"/>
    <hyperlink ref="A10:D10" r:id="rId15" display="Commonwealth Records" xr:uid="{7DE4A5A5-CB43-4B37-A8D6-7E45D2BB0627}"/>
    <hyperlink ref="A9:D9" r:id="rId16" display="New Zealand Records" xr:uid="{8DE29DD2-5317-4B6C-8D8A-058680BF952E}"/>
    <hyperlink ref="A14:D14" r:id="rId17" display="High Performance Sport NZ" xr:uid="{C1A9C53B-C939-4179-ACD4-E990EC734E94}"/>
    <hyperlink ref="A13:D13" r:id="rId18" display="Drug Free Sport NZ" xr:uid="{7EEFA805-589E-4DB9-AE52-ACF5E2C2C703}"/>
    <hyperlink ref="A12:D12" r:id="rId19" display="World Rankings" xr:uid="{883A3503-37C2-43BF-8236-E991A3DA6B42}"/>
    <hyperlink ref="A11" r:id="rId20" xr:uid="{6F2ED1EB-33D9-4831-B80B-A4F7527CD654}"/>
    <hyperlink ref="A3:D3" r:id="rId21" display="SNZ swimmer results page" xr:uid="{C60825F6-684F-4BE8-B3EB-704838F2D2DD}"/>
    <hyperlink ref="A6:D6" r:id="rId22" display="Para World Records" xr:uid="{619D0449-918D-4C37-B198-C24934FD989C}"/>
    <hyperlink ref="A7:D7" r:id="rId23" display="Para World Rankings" xr:uid="{A5519BA1-8722-4EE7-82A3-60A708B65CFC}"/>
    <hyperlink ref="A8:D8" r:id="rId24" display="World Para Swimming Champs 2019" xr:uid="{7C8FB503-CF7F-4658-BF22-BC2CDAE84384}"/>
    <hyperlink ref="A23:D23" r:id="rId25" display="Tokyo Olympics 2020" xr:uid="{9C66A7D4-0BDD-4C1C-B4CB-838F3FA09A64}"/>
    <hyperlink ref="A4:D4" r:id="rId26" display="International Teams selection criteria" xr:uid="{2C99622C-4C52-48FE-81F4-FC450162C33F}"/>
  </hyperlinks>
  <pageMargins left="0.7" right="0.7" top="0.75" bottom="0.75" header="0.3" footer="0.3"/>
  <pageSetup orientation="portrait" horizontalDpi="300" verticalDpi="300" r:id="rId2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08C31-457C-4491-9784-DFDF22EEFC0F}">
  <sheetPr>
    <tabColor rgb="FF00B0F0"/>
  </sheetPr>
  <dimension ref="A1:F52"/>
  <sheetViews>
    <sheetView zoomScale="80" zoomScaleNormal="80" workbookViewId="0">
      <selection activeCell="C13" sqref="C13"/>
    </sheetView>
  </sheetViews>
  <sheetFormatPr defaultRowHeight="15" x14ac:dyDescent="0.25"/>
  <cols>
    <col min="1" max="1" width="10.85546875" bestFit="1" customWidth="1"/>
    <col min="2" max="6" width="38.140625" customWidth="1"/>
  </cols>
  <sheetData>
    <row r="1" spans="1:6" ht="15.75" thickBot="1" x14ac:dyDescent="0.3">
      <c r="A1" s="589" t="s">
        <v>128</v>
      </c>
      <c r="B1" s="590"/>
      <c r="C1" s="590"/>
      <c r="D1" s="590"/>
      <c r="E1" s="590"/>
      <c r="F1" s="591"/>
    </row>
    <row r="2" spans="1:6" ht="15.75" thickBot="1" x14ac:dyDescent="0.3">
      <c r="A2" s="321"/>
      <c r="B2" s="321"/>
      <c r="C2" s="321"/>
      <c r="D2" s="321"/>
      <c r="E2" s="321"/>
      <c r="F2" s="321"/>
    </row>
    <row r="3" spans="1:6" ht="15.75" thickBot="1" x14ac:dyDescent="0.3">
      <c r="A3" s="592" t="s">
        <v>391</v>
      </c>
      <c r="B3" s="593"/>
      <c r="C3" s="593"/>
      <c r="D3" s="593"/>
      <c r="E3" s="593"/>
      <c r="F3" s="594"/>
    </row>
    <row r="4" spans="1:6" ht="15.75" thickBot="1" x14ac:dyDescent="0.3">
      <c r="A4" s="139"/>
      <c r="B4" s="138" t="s">
        <v>388</v>
      </c>
      <c r="C4" s="128" t="s">
        <v>386</v>
      </c>
      <c r="D4" s="128" t="s">
        <v>304</v>
      </c>
      <c r="E4" s="128" t="s">
        <v>387</v>
      </c>
      <c r="F4" s="129" t="s">
        <v>303</v>
      </c>
    </row>
    <row r="5" spans="1:6" x14ac:dyDescent="0.25">
      <c r="A5" s="292" t="s">
        <v>72</v>
      </c>
      <c r="B5" s="293" t="s">
        <v>392</v>
      </c>
      <c r="C5" s="294" t="s">
        <v>393</v>
      </c>
      <c r="D5" s="294" t="s">
        <v>395</v>
      </c>
      <c r="E5" s="294" t="s">
        <v>397</v>
      </c>
      <c r="F5" s="295" t="s">
        <v>399</v>
      </c>
    </row>
    <row r="6" spans="1:6" x14ac:dyDescent="0.25">
      <c r="A6" s="296"/>
      <c r="B6" s="297" t="s">
        <v>401</v>
      </c>
      <c r="C6" s="298" t="s">
        <v>394</v>
      </c>
      <c r="D6" s="298" t="s">
        <v>396</v>
      </c>
      <c r="E6" s="298" t="s">
        <v>398</v>
      </c>
      <c r="F6" s="299" t="s">
        <v>402</v>
      </c>
    </row>
    <row r="7" spans="1:6" x14ac:dyDescent="0.25">
      <c r="A7" s="296"/>
      <c r="B7" s="297"/>
      <c r="C7" s="298"/>
      <c r="D7" s="298"/>
      <c r="E7" s="298"/>
      <c r="F7" s="299" t="s">
        <v>400</v>
      </c>
    </row>
    <row r="8" spans="1:6" ht="15.75" thickBot="1" x14ac:dyDescent="0.3">
      <c r="A8" s="300"/>
      <c r="B8" s="301"/>
      <c r="C8" s="302"/>
      <c r="D8" s="302"/>
      <c r="E8" s="302"/>
      <c r="F8" s="303"/>
    </row>
    <row r="9" spans="1:6" x14ac:dyDescent="0.25">
      <c r="A9" s="140" t="s">
        <v>294</v>
      </c>
      <c r="B9" s="4"/>
      <c r="C9" s="130"/>
      <c r="D9" s="130"/>
      <c r="E9" s="130"/>
      <c r="F9" s="131"/>
    </row>
    <row r="10" spans="1:6" x14ac:dyDescent="0.25">
      <c r="A10" s="141"/>
      <c r="B10" s="148"/>
      <c r="C10" s="127"/>
      <c r="D10" s="127"/>
      <c r="E10" s="127"/>
      <c r="F10" s="132"/>
    </row>
    <row r="11" spans="1:6" x14ac:dyDescent="0.25">
      <c r="A11" s="141"/>
      <c r="B11" s="148"/>
      <c r="C11" s="127"/>
      <c r="D11" s="127"/>
      <c r="E11" s="127"/>
      <c r="F11" s="132"/>
    </row>
    <row r="12" spans="1:6" ht="15.75" thickBot="1" x14ac:dyDescent="0.3">
      <c r="A12" s="142"/>
      <c r="B12" s="149"/>
      <c r="C12" s="133"/>
      <c r="D12" s="133"/>
      <c r="E12" s="133"/>
      <c r="F12" s="134"/>
    </row>
    <row r="13" spans="1:6" x14ac:dyDescent="0.25">
      <c r="A13" s="143" t="s">
        <v>295</v>
      </c>
      <c r="B13" s="150"/>
      <c r="C13" s="135"/>
      <c r="D13" s="135"/>
      <c r="E13" s="135"/>
      <c r="F13" s="136"/>
    </row>
    <row r="14" spans="1:6" x14ac:dyDescent="0.25">
      <c r="A14" s="144"/>
      <c r="B14" s="151"/>
      <c r="C14" s="3"/>
      <c r="D14" s="3"/>
      <c r="E14" s="3"/>
      <c r="F14" s="5"/>
    </row>
    <row r="15" spans="1:6" x14ac:dyDescent="0.25">
      <c r="A15" s="144"/>
      <c r="B15" s="151"/>
      <c r="C15" s="3"/>
      <c r="D15" s="3"/>
      <c r="E15" s="3"/>
      <c r="F15" s="5"/>
    </row>
    <row r="16" spans="1:6" ht="15.75" thickBot="1" x14ac:dyDescent="0.3">
      <c r="A16" s="145"/>
      <c r="B16" s="70"/>
      <c r="C16" s="61"/>
      <c r="D16" s="61"/>
      <c r="E16" s="61"/>
      <c r="F16" s="62"/>
    </row>
    <row r="17" spans="1:6" x14ac:dyDescent="0.25">
      <c r="A17" s="140" t="s">
        <v>296</v>
      </c>
      <c r="B17" s="4"/>
      <c r="C17" s="130"/>
      <c r="D17" s="130"/>
      <c r="E17" s="130"/>
      <c r="F17" s="131"/>
    </row>
    <row r="18" spans="1:6" x14ac:dyDescent="0.25">
      <c r="A18" s="141"/>
      <c r="B18" s="148"/>
      <c r="C18" s="127"/>
      <c r="D18" s="127"/>
      <c r="E18" s="127"/>
      <c r="F18" s="132"/>
    </row>
    <row r="19" spans="1:6" x14ac:dyDescent="0.25">
      <c r="A19" s="141"/>
      <c r="B19" s="148"/>
      <c r="C19" s="127"/>
      <c r="D19" s="127"/>
      <c r="E19" s="127"/>
      <c r="F19" s="132"/>
    </row>
    <row r="20" spans="1:6" ht="15.75" thickBot="1" x14ac:dyDescent="0.3">
      <c r="A20" s="142"/>
      <c r="B20" s="149"/>
      <c r="C20" s="133"/>
      <c r="D20" s="133"/>
      <c r="E20" s="133"/>
      <c r="F20" s="134"/>
    </row>
    <row r="21" spans="1:6" x14ac:dyDescent="0.25">
      <c r="A21" s="146" t="s">
        <v>297</v>
      </c>
      <c r="B21" s="69"/>
      <c r="C21" s="58"/>
      <c r="D21" s="58"/>
      <c r="E21" s="58"/>
      <c r="F21" s="59"/>
    </row>
    <row r="22" spans="1:6" x14ac:dyDescent="0.25">
      <c r="A22" s="144"/>
      <c r="B22" s="151"/>
      <c r="C22" s="3"/>
      <c r="D22" s="3"/>
      <c r="E22" s="3"/>
      <c r="F22" s="5"/>
    </row>
    <row r="23" spans="1:6" x14ac:dyDescent="0.25">
      <c r="A23" s="144"/>
      <c r="B23" s="151"/>
      <c r="C23" s="3"/>
      <c r="D23" s="3"/>
      <c r="E23" s="3"/>
      <c r="F23" s="5"/>
    </row>
    <row r="24" spans="1:6" ht="15.75" thickBot="1" x14ac:dyDescent="0.3">
      <c r="A24" s="147"/>
      <c r="B24" s="152"/>
      <c r="C24" s="137"/>
      <c r="D24" s="137"/>
      <c r="E24" s="137"/>
      <c r="F24" s="153"/>
    </row>
    <row r="25" spans="1:6" x14ac:dyDescent="0.25">
      <c r="A25" s="140" t="s">
        <v>5</v>
      </c>
      <c r="B25" s="4"/>
      <c r="C25" s="130"/>
      <c r="D25" s="130"/>
      <c r="E25" s="130"/>
      <c r="F25" s="131"/>
    </row>
    <row r="26" spans="1:6" x14ac:dyDescent="0.25">
      <c r="A26" s="141"/>
      <c r="B26" s="148"/>
      <c r="C26" s="127"/>
      <c r="D26" s="127"/>
      <c r="E26" s="127"/>
      <c r="F26" s="132"/>
    </row>
    <row r="27" spans="1:6" x14ac:dyDescent="0.25">
      <c r="A27" s="141"/>
      <c r="B27" s="148"/>
      <c r="C27" s="127"/>
      <c r="D27" s="127"/>
      <c r="E27" s="127"/>
      <c r="F27" s="132"/>
    </row>
    <row r="28" spans="1:6" ht="15.75" thickBot="1" x14ac:dyDescent="0.3">
      <c r="A28" s="142"/>
      <c r="B28" s="149"/>
      <c r="C28" s="133"/>
      <c r="D28" s="133"/>
      <c r="E28" s="133"/>
      <c r="F28" s="134"/>
    </row>
    <row r="29" spans="1:6" x14ac:dyDescent="0.25">
      <c r="A29" s="146" t="s">
        <v>298</v>
      </c>
      <c r="B29" s="69"/>
      <c r="C29" s="58"/>
      <c r="D29" s="58"/>
      <c r="E29" s="58"/>
      <c r="F29" s="59"/>
    </row>
    <row r="30" spans="1:6" x14ac:dyDescent="0.25">
      <c r="A30" s="144"/>
      <c r="B30" s="151"/>
      <c r="C30" s="3"/>
      <c r="D30" s="3"/>
      <c r="E30" s="3"/>
      <c r="F30" s="5"/>
    </row>
    <row r="31" spans="1:6" x14ac:dyDescent="0.25">
      <c r="A31" s="144"/>
      <c r="B31" s="151"/>
      <c r="C31" s="3"/>
      <c r="D31" s="3"/>
      <c r="E31" s="3"/>
      <c r="F31" s="5"/>
    </row>
    <row r="32" spans="1:6" ht="15.75" thickBot="1" x14ac:dyDescent="0.3">
      <c r="A32" s="147"/>
      <c r="B32" s="152"/>
      <c r="C32" s="137"/>
      <c r="D32" s="137"/>
      <c r="E32" s="137"/>
      <c r="F32" s="153"/>
    </row>
    <row r="33" spans="1:6" x14ac:dyDescent="0.25">
      <c r="A33" s="140" t="s">
        <v>6</v>
      </c>
      <c r="B33" s="4"/>
      <c r="C33" s="130"/>
      <c r="D33" s="130"/>
      <c r="E33" s="130"/>
      <c r="F33" s="131"/>
    </row>
    <row r="34" spans="1:6" x14ac:dyDescent="0.25">
      <c r="A34" s="141"/>
      <c r="B34" s="148"/>
      <c r="C34" s="127"/>
      <c r="D34" s="127"/>
      <c r="E34" s="127"/>
      <c r="F34" s="132"/>
    </row>
    <row r="35" spans="1:6" x14ac:dyDescent="0.25">
      <c r="A35" s="141"/>
      <c r="B35" s="148"/>
      <c r="C35" s="127"/>
      <c r="D35" s="127"/>
      <c r="E35" s="127"/>
      <c r="F35" s="132"/>
    </row>
    <row r="36" spans="1:6" ht="15.75" thickBot="1" x14ac:dyDescent="0.3">
      <c r="A36" s="142"/>
      <c r="B36" s="149"/>
      <c r="C36" s="133"/>
      <c r="D36" s="133"/>
      <c r="E36" s="133"/>
      <c r="F36" s="134"/>
    </row>
    <row r="37" spans="1:6" x14ac:dyDescent="0.25">
      <c r="A37" s="146" t="s">
        <v>299</v>
      </c>
      <c r="B37" s="69"/>
      <c r="C37" s="58"/>
      <c r="D37" s="58"/>
      <c r="E37" s="58"/>
      <c r="F37" s="59"/>
    </row>
    <row r="38" spans="1:6" x14ac:dyDescent="0.25">
      <c r="A38" s="144"/>
      <c r="B38" s="151"/>
      <c r="C38" s="3"/>
      <c r="D38" s="3"/>
      <c r="E38" s="3"/>
      <c r="F38" s="5"/>
    </row>
    <row r="39" spans="1:6" x14ac:dyDescent="0.25">
      <c r="A39" s="144"/>
      <c r="B39" s="151"/>
      <c r="C39" s="3"/>
      <c r="D39" s="3"/>
      <c r="E39" s="3"/>
      <c r="F39" s="5"/>
    </row>
    <row r="40" spans="1:6" ht="15.75" thickBot="1" x14ac:dyDescent="0.3">
      <c r="A40" s="147"/>
      <c r="B40" s="152"/>
      <c r="C40" s="137"/>
      <c r="D40" s="137"/>
      <c r="E40" s="137"/>
      <c r="F40" s="153"/>
    </row>
    <row r="41" spans="1:6" x14ac:dyDescent="0.25">
      <c r="A41" s="140" t="s">
        <v>300</v>
      </c>
      <c r="B41" s="4"/>
      <c r="C41" s="130"/>
      <c r="D41" s="130"/>
      <c r="E41" s="130"/>
      <c r="F41" s="131"/>
    </row>
    <row r="42" spans="1:6" x14ac:dyDescent="0.25">
      <c r="A42" s="141"/>
      <c r="B42" s="148"/>
      <c r="C42" s="127"/>
      <c r="D42" s="127"/>
      <c r="E42" s="127"/>
      <c r="F42" s="132"/>
    </row>
    <row r="43" spans="1:6" x14ac:dyDescent="0.25">
      <c r="A43" s="141"/>
      <c r="B43" s="148"/>
      <c r="C43" s="127"/>
      <c r="D43" s="127"/>
      <c r="E43" s="127"/>
      <c r="F43" s="132"/>
    </row>
    <row r="44" spans="1:6" ht="15.75" thickBot="1" x14ac:dyDescent="0.3">
      <c r="A44" s="142"/>
      <c r="B44" s="149"/>
      <c r="C44" s="133"/>
      <c r="D44" s="133"/>
      <c r="E44" s="133"/>
      <c r="F44" s="134"/>
    </row>
    <row r="45" spans="1:6" x14ac:dyDescent="0.25">
      <c r="A45" s="146" t="s">
        <v>301</v>
      </c>
      <c r="B45" s="69"/>
      <c r="C45" s="58"/>
      <c r="D45" s="58"/>
      <c r="E45" s="58"/>
      <c r="F45" s="59"/>
    </row>
    <row r="46" spans="1:6" x14ac:dyDescent="0.25">
      <c r="A46" s="144"/>
      <c r="B46" s="151"/>
      <c r="C46" s="3"/>
      <c r="D46" s="3"/>
      <c r="E46" s="3"/>
      <c r="F46" s="5"/>
    </row>
    <row r="47" spans="1:6" x14ac:dyDescent="0.25">
      <c r="A47" s="144"/>
      <c r="B47" s="151"/>
      <c r="C47" s="3"/>
      <c r="D47" s="3"/>
      <c r="E47" s="3"/>
      <c r="F47" s="5"/>
    </row>
    <row r="48" spans="1:6" ht="15.75" thickBot="1" x14ac:dyDescent="0.3">
      <c r="A48" s="147"/>
      <c r="B48" s="152"/>
      <c r="C48" s="137"/>
      <c r="D48" s="137"/>
      <c r="E48" s="137"/>
      <c r="F48" s="153"/>
    </row>
    <row r="49" spans="1:6" x14ac:dyDescent="0.25">
      <c r="A49" s="140" t="s">
        <v>302</v>
      </c>
      <c r="B49" s="4"/>
      <c r="C49" s="130"/>
      <c r="D49" s="130"/>
      <c r="E49" s="130"/>
      <c r="F49" s="131"/>
    </row>
    <row r="50" spans="1:6" x14ac:dyDescent="0.25">
      <c r="A50" s="141"/>
      <c r="B50" s="148"/>
      <c r="C50" s="127"/>
      <c r="D50" s="127"/>
      <c r="E50" s="127"/>
      <c r="F50" s="132"/>
    </row>
    <row r="51" spans="1:6" x14ac:dyDescent="0.25">
      <c r="A51" s="141"/>
      <c r="B51" s="148"/>
      <c r="C51" s="127"/>
      <c r="D51" s="127"/>
      <c r="E51" s="127"/>
      <c r="F51" s="132"/>
    </row>
    <row r="52" spans="1:6" ht="15.75" thickBot="1" x14ac:dyDescent="0.3">
      <c r="A52" s="142"/>
      <c r="B52" s="149"/>
      <c r="C52" s="133"/>
      <c r="D52" s="133"/>
      <c r="E52" s="133"/>
      <c r="F52" s="134"/>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C2A3C-ADB2-48F8-9001-0E8BB3C2338B}">
  <sheetPr>
    <tabColor rgb="FF00B0F0"/>
  </sheetPr>
  <dimension ref="A1:U77"/>
  <sheetViews>
    <sheetView topLeftCell="A54" zoomScale="90" zoomScaleNormal="90" workbookViewId="0">
      <selection activeCell="M2" sqref="M2"/>
    </sheetView>
  </sheetViews>
  <sheetFormatPr defaultRowHeight="15" x14ac:dyDescent="0.25"/>
  <cols>
    <col min="1" max="1" width="11" customWidth="1"/>
    <col min="4" max="4" width="13.28515625" customWidth="1"/>
    <col min="5" max="5" width="12.7109375" customWidth="1"/>
    <col min="9" max="9" width="13.140625" customWidth="1"/>
    <col min="10" max="10" width="14.7109375" customWidth="1"/>
    <col min="11" max="11" width="3.28515625" customWidth="1"/>
    <col min="12" max="12" width="3" customWidth="1"/>
    <col min="13" max="13" width="83.5703125" bestFit="1" customWidth="1"/>
  </cols>
  <sheetData>
    <row r="1" spans="1:21" ht="16.5" thickBot="1" x14ac:dyDescent="0.3">
      <c r="A1" s="613" t="s">
        <v>343</v>
      </c>
      <c r="B1" s="614"/>
      <c r="C1" s="614"/>
      <c r="D1" s="614"/>
      <c r="E1" s="614"/>
      <c r="F1" s="614"/>
      <c r="G1" s="614"/>
      <c r="H1" s="614"/>
      <c r="I1" s="614"/>
      <c r="J1" s="615"/>
    </row>
    <row r="2" spans="1:21" ht="15.75" thickBot="1" x14ac:dyDescent="0.3">
      <c r="A2" s="612"/>
      <c r="B2" s="612"/>
      <c r="C2" s="612"/>
      <c r="D2" s="612"/>
      <c r="E2" s="612"/>
      <c r="F2" s="612"/>
      <c r="G2" s="612"/>
      <c r="H2" s="612"/>
      <c r="I2" s="612"/>
      <c r="J2" s="612"/>
    </row>
    <row r="3" spans="1:21" ht="16.5" thickBot="1" x14ac:dyDescent="0.3">
      <c r="A3" s="616" t="s">
        <v>344</v>
      </c>
      <c r="B3" s="617"/>
      <c r="C3" s="617"/>
      <c r="D3" s="617"/>
      <c r="E3" s="617"/>
      <c r="F3" s="617"/>
      <c r="G3" s="617"/>
      <c r="H3" s="617"/>
      <c r="I3" s="617"/>
      <c r="J3" s="618"/>
      <c r="N3" s="219"/>
      <c r="O3" s="219"/>
    </row>
    <row r="4" spans="1:21" ht="15.75" thickBot="1" x14ac:dyDescent="0.3">
      <c r="A4" s="197" t="s">
        <v>106</v>
      </c>
      <c r="B4" s="601">
        <v>44682</v>
      </c>
      <c r="C4" s="602"/>
      <c r="D4" s="602"/>
      <c r="E4" s="602"/>
      <c r="F4" s="610" t="s">
        <v>334</v>
      </c>
      <c r="G4" s="610"/>
      <c r="H4" s="602" t="s">
        <v>340</v>
      </c>
      <c r="I4" s="602"/>
      <c r="J4" s="611"/>
    </row>
    <row r="5" spans="1:21" ht="15.75" thickBot="1" x14ac:dyDescent="0.3">
      <c r="A5" s="198" t="s">
        <v>107</v>
      </c>
      <c r="B5" s="603" t="s">
        <v>264</v>
      </c>
      <c r="C5" s="604"/>
      <c r="D5" s="604"/>
      <c r="E5" s="604"/>
      <c r="F5" s="604"/>
      <c r="G5" s="604"/>
      <c r="H5" s="604"/>
      <c r="I5" s="604"/>
      <c r="J5" s="605"/>
      <c r="L5" s="497" t="s">
        <v>366</v>
      </c>
      <c r="M5" s="499"/>
      <c r="N5" s="207"/>
      <c r="O5" s="207"/>
      <c r="P5" s="207"/>
      <c r="Q5" s="207"/>
      <c r="R5" s="207"/>
      <c r="S5" s="207"/>
      <c r="T5" s="207"/>
      <c r="U5" s="207"/>
    </row>
    <row r="6" spans="1:21" ht="15.75" thickBot="1" x14ac:dyDescent="0.3">
      <c r="A6" s="199" t="s">
        <v>327</v>
      </c>
      <c r="B6" s="606" t="s">
        <v>342</v>
      </c>
      <c r="C6" s="607"/>
      <c r="D6" s="218" t="s">
        <v>68</v>
      </c>
      <c r="E6" s="210" t="s">
        <v>310</v>
      </c>
      <c r="F6" s="608" t="s">
        <v>338</v>
      </c>
      <c r="G6" s="609"/>
      <c r="H6" s="609"/>
      <c r="I6" s="609"/>
      <c r="J6" s="206">
        <v>33</v>
      </c>
      <c r="L6" s="243">
        <v>1</v>
      </c>
      <c r="M6" s="239" t="s">
        <v>420</v>
      </c>
      <c r="N6" s="208"/>
      <c r="O6" s="208"/>
      <c r="P6" s="208"/>
      <c r="Q6" s="208"/>
      <c r="R6" s="209"/>
      <c r="S6" s="209"/>
      <c r="T6" s="209"/>
      <c r="U6" s="209"/>
    </row>
    <row r="7" spans="1:21" ht="15.75" thickBot="1" x14ac:dyDescent="0.3">
      <c r="A7" s="216" t="s">
        <v>339</v>
      </c>
      <c r="B7" s="215" t="s">
        <v>328</v>
      </c>
      <c r="C7" s="215" t="s">
        <v>108</v>
      </c>
      <c r="D7" s="215" t="s">
        <v>329</v>
      </c>
      <c r="E7" s="215" t="s">
        <v>341</v>
      </c>
      <c r="F7" s="215" t="s">
        <v>330</v>
      </c>
      <c r="G7" s="215" t="s">
        <v>335</v>
      </c>
      <c r="H7" s="215" t="s">
        <v>336</v>
      </c>
      <c r="I7" s="215" t="s">
        <v>331</v>
      </c>
      <c r="J7" s="217" t="s">
        <v>110</v>
      </c>
      <c r="L7" s="244">
        <v>2</v>
      </c>
      <c r="M7" s="237" t="s">
        <v>363</v>
      </c>
      <c r="N7" s="207"/>
      <c r="O7" s="207"/>
      <c r="P7" s="207"/>
      <c r="Q7" s="207"/>
      <c r="R7" s="207"/>
      <c r="S7" s="207"/>
      <c r="T7" s="207"/>
      <c r="U7" s="207"/>
    </row>
    <row r="8" spans="1:21" x14ac:dyDescent="0.25">
      <c r="A8" s="195">
        <v>1</v>
      </c>
      <c r="B8" s="200">
        <v>38</v>
      </c>
      <c r="C8" s="200">
        <v>38.22</v>
      </c>
      <c r="D8" s="201">
        <v>21</v>
      </c>
      <c r="E8" s="201">
        <v>50</v>
      </c>
      <c r="F8" s="196">
        <f>E8/C8</f>
        <v>1.3082155939298796</v>
      </c>
      <c r="G8" s="196">
        <f>E8/D8</f>
        <v>2.3809523809523809</v>
      </c>
      <c r="H8" s="201">
        <v>2</v>
      </c>
      <c r="I8" s="196">
        <f>F8*G8*H8</f>
        <v>6.2295980663327599</v>
      </c>
      <c r="J8" s="205">
        <f>SUM(C8:D8)</f>
        <v>59.22</v>
      </c>
      <c r="L8" s="244">
        <v>3</v>
      </c>
      <c r="M8" s="240" t="s">
        <v>362</v>
      </c>
      <c r="N8" s="207"/>
      <c r="O8" s="207"/>
      <c r="P8" s="207"/>
      <c r="Q8" s="207"/>
      <c r="R8" s="207"/>
      <c r="S8" s="207"/>
      <c r="T8" s="207"/>
      <c r="U8" s="207"/>
    </row>
    <row r="9" spans="1:21" x14ac:dyDescent="0.25">
      <c r="A9" s="193">
        <v>2</v>
      </c>
      <c r="B9" s="202">
        <v>37</v>
      </c>
      <c r="C9" s="202">
        <v>37.11</v>
      </c>
      <c r="D9" s="203">
        <v>21</v>
      </c>
      <c r="E9" s="203">
        <v>50</v>
      </c>
      <c r="F9" s="194">
        <f t="shared" ref="F9:F13" si="0">E9/C9</f>
        <v>1.3473457289140394</v>
      </c>
      <c r="G9" s="194">
        <f t="shared" ref="G9:G13" si="1">E9/D9</f>
        <v>2.3809523809523809</v>
      </c>
      <c r="H9" s="203">
        <v>2</v>
      </c>
      <c r="I9" s="194">
        <f t="shared" ref="I9:I13" si="2">F9*G9*H9</f>
        <v>6.4159320424478068</v>
      </c>
      <c r="J9" s="204">
        <f t="shared" ref="J9:J13" si="3">SUM(C9:D9)</f>
        <v>58.11</v>
      </c>
      <c r="L9" s="244"/>
      <c r="M9" s="241" t="s">
        <v>364</v>
      </c>
    </row>
    <row r="10" spans="1:21" x14ac:dyDescent="0.25">
      <c r="A10" s="193">
        <v>3</v>
      </c>
      <c r="B10" s="202">
        <v>36</v>
      </c>
      <c r="C10" s="202">
        <v>35.99</v>
      </c>
      <c r="D10" s="203">
        <v>22</v>
      </c>
      <c r="E10" s="203">
        <v>50</v>
      </c>
      <c r="F10" s="194">
        <f t="shared" si="0"/>
        <v>1.3892747985551541</v>
      </c>
      <c r="G10" s="194">
        <f t="shared" si="1"/>
        <v>2.2727272727272729</v>
      </c>
      <c r="H10" s="203">
        <v>2</v>
      </c>
      <c r="I10" s="194">
        <f t="shared" si="2"/>
        <v>6.3148854479779741</v>
      </c>
      <c r="J10" s="204">
        <f t="shared" si="3"/>
        <v>57.99</v>
      </c>
      <c r="L10" s="305">
        <v>4</v>
      </c>
      <c r="M10" s="306" t="s">
        <v>417</v>
      </c>
    </row>
    <row r="11" spans="1:21" x14ac:dyDescent="0.25">
      <c r="A11" s="193">
        <v>4</v>
      </c>
      <c r="B11" s="202">
        <v>35</v>
      </c>
      <c r="C11" s="202">
        <v>35.22</v>
      </c>
      <c r="D11" s="203">
        <v>22</v>
      </c>
      <c r="E11" s="203">
        <v>50</v>
      </c>
      <c r="F11" s="194">
        <f t="shared" si="0"/>
        <v>1.4196479273140261</v>
      </c>
      <c r="G11" s="194">
        <f t="shared" si="1"/>
        <v>2.2727272727272729</v>
      </c>
      <c r="H11" s="203">
        <v>2</v>
      </c>
      <c r="I11" s="194">
        <f t="shared" si="2"/>
        <v>6.4529451241546649</v>
      </c>
      <c r="J11" s="204">
        <f t="shared" si="3"/>
        <v>57.22</v>
      </c>
      <c r="L11" s="305">
        <v>5</v>
      </c>
      <c r="M11" s="306" t="s">
        <v>418</v>
      </c>
    </row>
    <row r="12" spans="1:21" x14ac:dyDescent="0.25">
      <c r="A12" s="193">
        <v>5</v>
      </c>
      <c r="B12" s="202">
        <v>34</v>
      </c>
      <c r="C12" s="202">
        <v>34.11</v>
      </c>
      <c r="D12" s="203">
        <v>23</v>
      </c>
      <c r="E12" s="203">
        <v>50</v>
      </c>
      <c r="F12" s="194">
        <f t="shared" si="0"/>
        <v>1.4658457930225741</v>
      </c>
      <c r="G12" s="194">
        <f t="shared" si="1"/>
        <v>2.1739130434782608</v>
      </c>
      <c r="H12" s="203">
        <v>2</v>
      </c>
      <c r="I12" s="194">
        <f t="shared" si="2"/>
        <v>6.3732425783590179</v>
      </c>
      <c r="J12" s="204">
        <f t="shared" si="3"/>
        <v>57.11</v>
      </c>
      <c r="L12" s="305">
        <v>6</v>
      </c>
      <c r="M12" s="306" t="s">
        <v>419</v>
      </c>
    </row>
    <row r="13" spans="1:21" x14ac:dyDescent="0.25">
      <c r="A13" s="193">
        <v>6</v>
      </c>
      <c r="B13" s="202">
        <v>33</v>
      </c>
      <c r="C13" s="202">
        <v>32.99</v>
      </c>
      <c r="D13" s="203">
        <v>23</v>
      </c>
      <c r="E13" s="203">
        <v>50</v>
      </c>
      <c r="F13" s="194">
        <f t="shared" si="0"/>
        <v>1.5156107911488328</v>
      </c>
      <c r="G13" s="194">
        <f t="shared" si="1"/>
        <v>2.1739130434782608</v>
      </c>
      <c r="H13" s="203">
        <v>2</v>
      </c>
      <c r="I13" s="194">
        <f t="shared" si="2"/>
        <v>6.5896121354297073</v>
      </c>
      <c r="J13" s="204">
        <f t="shared" si="3"/>
        <v>55.99</v>
      </c>
      <c r="L13" s="244">
        <v>8</v>
      </c>
      <c r="M13" s="240" t="s">
        <v>345</v>
      </c>
    </row>
    <row r="14" spans="1:21" x14ac:dyDescent="0.25">
      <c r="A14" s="193">
        <v>7</v>
      </c>
      <c r="B14" s="202" t="s">
        <v>337</v>
      </c>
      <c r="C14" s="202">
        <v>31.75</v>
      </c>
      <c r="D14" s="203">
        <v>25</v>
      </c>
      <c r="E14" s="203">
        <v>50</v>
      </c>
      <c r="F14" s="194">
        <f>E14/C14</f>
        <v>1.5748031496062993</v>
      </c>
      <c r="G14" s="194">
        <f>E14/D14</f>
        <v>2</v>
      </c>
      <c r="H14" s="203">
        <v>2</v>
      </c>
      <c r="I14" s="194">
        <f>F14*G14*H14</f>
        <v>6.2992125984251972</v>
      </c>
      <c r="J14" s="204">
        <f>SUM(C14:D14)</f>
        <v>56.75</v>
      </c>
      <c r="L14" s="244">
        <v>9</v>
      </c>
      <c r="M14" s="240" t="s">
        <v>374</v>
      </c>
    </row>
    <row r="15" spans="1:21" x14ac:dyDescent="0.25">
      <c r="A15" s="595" t="s">
        <v>332</v>
      </c>
      <c r="B15" s="596"/>
      <c r="C15" s="194">
        <f>MAX(C8:C14)</f>
        <v>38.22</v>
      </c>
      <c r="D15" s="194">
        <f t="shared" ref="D15:I15" si="4">MAX(D8:D14)</f>
        <v>25</v>
      </c>
      <c r="E15" s="194">
        <f t="shared" si="4"/>
        <v>50</v>
      </c>
      <c r="F15" s="194">
        <f t="shared" si="4"/>
        <v>1.5748031496062993</v>
      </c>
      <c r="G15" s="194">
        <f t="shared" si="4"/>
        <v>2.3809523809523809</v>
      </c>
      <c r="H15" s="194">
        <f t="shared" si="4"/>
        <v>2</v>
      </c>
      <c r="I15" s="194">
        <f t="shared" si="4"/>
        <v>6.5896121354297073</v>
      </c>
      <c r="J15" s="204">
        <f>MAX(J8:J14)</f>
        <v>59.22</v>
      </c>
      <c r="L15" s="244">
        <v>10</v>
      </c>
      <c r="M15" s="240" t="s">
        <v>376</v>
      </c>
    </row>
    <row r="16" spans="1:21" ht="15.75" thickBot="1" x14ac:dyDescent="0.3">
      <c r="A16" s="597" t="s">
        <v>333</v>
      </c>
      <c r="B16" s="598"/>
      <c r="C16" s="211">
        <f t="shared" ref="C16:J16" si="5">MIN(C8:C13)</f>
        <v>32.99</v>
      </c>
      <c r="D16" s="211">
        <f t="shared" si="5"/>
        <v>21</v>
      </c>
      <c r="E16" s="211">
        <f t="shared" si="5"/>
        <v>50</v>
      </c>
      <c r="F16" s="211">
        <f t="shared" si="5"/>
        <v>1.3082155939298796</v>
      </c>
      <c r="G16" s="211">
        <f t="shared" si="5"/>
        <v>2.1739130434782608</v>
      </c>
      <c r="H16" s="211">
        <f t="shared" si="5"/>
        <v>2</v>
      </c>
      <c r="I16" s="211">
        <f t="shared" si="5"/>
        <v>6.2295980663327599</v>
      </c>
      <c r="J16" s="212">
        <f t="shared" si="5"/>
        <v>55.99</v>
      </c>
      <c r="L16" s="244">
        <v>11</v>
      </c>
      <c r="M16" s="240" t="s">
        <v>375</v>
      </c>
    </row>
    <row r="17" spans="1:13" ht="15.75" thickBot="1" x14ac:dyDescent="0.3">
      <c r="A17" s="599" t="s">
        <v>109</v>
      </c>
      <c r="B17" s="600"/>
      <c r="C17" s="213">
        <f>AVERAGE(C8:C14)</f>
        <v>35.055714285714281</v>
      </c>
      <c r="D17" s="213">
        <f t="shared" ref="D17:J17" si="6">AVERAGE(D8:D14)</f>
        <v>22.428571428571427</v>
      </c>
      <c r="E17" s="213">
        <f t="shared" si="6"/>
        <v>50</v>
      </c>
      <c r="F17" s="213">
        <f t="shared" si="6"/>
        <v>1.4315348260701151</v>
      </c>
      <c r="G17" s="213">
        <f t="shared" si="6"/>
        <v>2.2364550563308327</v>
      </c>
      <c r="H17" s="213">
        <f t="shared" si="6"/>
        <v>2</v>
      </c>
      <c r="I17" s="213">
        <f t="shared" si="6"/>
        <v>6.3822039990181612</v>
      </c>
      <c r="J17" s="214">
        <f t="shared" si="6"/>
        <v>57.484285714285711</v>
      </c>
      <c r="L17" s="245">
        <v>12</v>
      </c>
      <c r="M17" s="242" t="s">
        <v>377</v>
      </c>
    </row>
    <row r="18" spans="1:13" ht="15.75" thickBot="1" x14ac:dyDescent="0.3">
      <c r="A18" s="187"/>
      <c r="B18" s="188"/>
      <c r="C18" s="188"/>
      <c r="D18" s="188"/>
      <c r="E18" s="188"/>
      <c r="F18" s="188"/>
      <c r="G18" s="188"/>
      <c r="H18" s="188"/>
      <c r="I18" s="188"/>
      <c r="J18" s="188"/>
    </row>
    <row r="19" spans="1:13" ht="15.75" thickBot="1" x14ac:dyDescent="0.3">
      <c r="A19" s="197" t="s">
        <v>106</v>
      </c>
      <c r="B19" s="601"/>
      <c r="C19" s="602"/>
      <c r="D19" s="602"/>
      <c r="E19" s="602"/>
      <c r="F19" s="610" t="s">
        <v>334</v>
      </c>
      <c r="G19" s="610"/>
      <c r="H19" s="602"/>
      <c r="I19" s="602"/>
      <c r="J19" s="611"/>
      <c r="L19" s="466" t="s">
        <v>367</v>
      </c>
      <c r="M19" s="468"/>
    </row>
    <row r="20" spans="1:13" x14ac:dyDescent="0.25">
      <c r="A20" s="198" t="s">
        <v>107</v>
      </c>
      <c r="B20" s="603"/>
      <c r="C20" s="604"/>
      <c r="D20" s="604"/>
      <c r="E20" s="604"/>
      <c r="F20" s="604"/>
      <c r="G20" s="604"/>
      <c r="H20" s="604"/>
      <c r="I20" s="604"/>
      <c r="J20" s="605"/>
      <c r="L20" s="220">
        <v>1</v>
      </c>
      <c r="M20" s="222" t="s">
        <v>370</v>
      </c>
    </row>
    <row r="21" spans="1:13" ht="15.75" thickBot="1" x14ac:dyDescent="0.3">
      <c r="A21" s="199" t="s">
        <v>327</v>
      </c>
      <c r="B21" s="606"/>
      <c r="C21" s="607"/>
      <c r="D21" s="218" t="s">
        <v>68</v>
      </c>
      <c r="E21" s="210"/>
      <c r="F21" s="608" t="s">
        <v>338</v>
      </c>
      <c r="G21" s="609"/>
      <c r="H21" s="609"/>
      <c r="I21" s="609"/>
      <c r="J21" s="206"/>
      <c r="L21" s="221">
        <v>2</v>
      </c>
      <c r="M21" s="159" t="s">
        <v>365</v>
      </c>
    </row>
    <row r="22" spans="1:13" ht="15.75" thickBot="1" x14ac:dyDescent="0.3">
      <c r="A22" s="216" t="s">
        <v>339</v>
      </c>
      <c r="B22" s="215" t="s">
        <v>328</v>
      </c>
      <c r="C22" s="215" t="s">
        <v>108</v>
      </c>
      <c r="D22" s="215" t="s">
        <v>329</v>
      </c>
      <c r="E22" s="215" t="s">
        <v>341</v>
      </c>
      <c r="F22" s="215" t="s">
        <v>330</v>
      </c>
      <c r="G22" s="215" t="s">
        <v>335</v>
      </c>
      <c r="H22" s="215" t="s">
        <v>336</v>
      </c>
      <c r="I22" s="215" t="s">
        <v>331</v>
      </c>
      <c r="J22" s="217" t="s">
        <v>110</v>
      </c>
      <c r="L22" s="221"/>
      <c r="M22" s="159" t="s">
        <v>368</v>
      </c>
    </row>
    <row r="23" spans="1:13" x14ac:dyDescent="0.25">
      <c r="A23" s="195">
        <v>1</v>
      </c>
      <c r="B23" s="200"/>
      <c r="C23" s="200"/>
      <c r="D23" s="201"/>
      <c r="E23" s="201"/>
      <c r="F23" s="196" t="e">
        <f>E23/C23</f>
        <v>#DIV/0!</v>
      </c>
      <c r="G23" s="196" t="e">
        <f>E23/D23</f>
        <v>#DIV/0!</v>
      </c>
      <c r="H23" s="201"/>
      <c r="I23" s="196" t="e">
        <f>F23*G23*H23</f>
        <v>#DIV/0!</v>
      </c>
      <c r="J23" s="205">
        <f>SUM(C23:D23)</f>
        <v>0</v>
      </c>
      <c r="L23" s="235">
        <v>3</v>
      </c>
      <c r="M23" s="236" t="s">
        <v>369</v>
      </c>
    </row>
    <row r="24" spans="1:13" x14ac:dyDescent="0.25">
      <c r="A24" s="193">
        <v>2</v>
      </c>
      <c r="B24" s="202"/>
      <c r="C24" s="202"/>
      <c r="D24" s="203"/>
      <c r="E24" s="203"/>
      <c r="F24" s="194" t="e">
        <f t="shared" ref="F24:F28" si="7">E24/C24</f>
        <v>#DIV/0!</v>
      </c>
      <c r="G24" s="194" t="e">
        <f t="shared" ref="G24:G28" si="8">E24/D24</f>
        <v>#DIV/0!</v>
      </c>
      <c r="H24" s="203"/>
      <c r="I24" s="194" t="e">
        <f t="shared" ref="I24:I28" si="9">F24*G24*H24</f>
        <v>#DIV/0!</v>
      </c>
      <c r="J24" s="204">
        <f t="shared" ref="J24:J28" si="10">SUM(C24:D24)</f>
        <v>0</v>
      </c>
      <c r="L24" s="233">
        <v>4</v>
      </c>
      <c r="M24" s="237" t="s">
        <v>371</v>
      </c>
    </row>
    <row r="25" spans="1:13" x14ac:dyDescent="0.25">
      <c r="A25" s="193">
        <v>3</v>
      </c>
      <c r="B25" s="202"/>
      <c r="C25" s="202"/>
      <c r="D25" s="203"/>
      <c r="E25" s="203"/>
      <c r="F25" s="194" t="e">
        <f t="shared" si="7"/>
        <v>#DIV/0!</v>
      </c>
      <c r="G25" s="194" t="e">
        <f t="shared" si="8"/>
        <v>#DIV/0!</v>
      </c>
      <c r="H25" s="203"/>
      <c r="I25" s="194" t="e">
        <f t="shared" si="9"/>
        <v>#DIV/0!</v>
      </c>
      <c r="J25" s="204">
        <f t="shared" si="10"/>
        <v>0</v>
      </c>
      <c r="L25" s="159"/>
      <c r="M25" s="237" t="s">
        <v>372</v>
      </c>
    </row>
    <row r="26" spans="1:13" ht="15.75" thickBot="1" x14ac:dyDescent="0.3">
      <c r="A26" s="193">
        <v>4</v>
      </c>
      <c r="B26" s="202"/>
      <c r="C26" s="202"/>
      <c r="D26" s="203"/>
      <c r="E26" s="203"/>
      <c r="F26" s="194" t="e">
        <f t="shared" si="7"/>
        <v>#DIV/0!</v>
      </c>
      <c r="G26" s="194" t="e">
        <f t="shared" si="8"/>
        <v>#DIV/0!</v>
      </c>
      <c r="H26" s="203"/>
      <c r="I26" s="194" t="e">
        <f t="shared" si="9"/>
        <v>#DIV/0!</v>
      </c>
      <c r="J26" s="204">
        <f t="shared" si="10"/>
        <v>0</v>
      </c>
      <c r="L26" s="234">
        <v>5</v>
      </c>
      <c r="M26" s="238" t="s">
        <v>373</v>
      </c>
    </row>
    <row r="27" spans="1:13" x14ac:dyDescent="0.25">
      <c r="A27" s="193">
        <v>5</v>
      </c>
      <c r="B27" s="202"/>
      <c r="C27" s="202"/>
      <c r="D27" s="203"/>
      <c r="E27" s="203"/>
      <c r="F27" s="194" t="e">
        <f t="shared" si="7"/>
        <v>#DIV/0!</v>
      </c>
      <c r="G27" s="194" t="e">
        <f t="shared" si="8"/>
        <v>#DIV/0!</v>
      </c>
      <c r="H27" s="203"/>
      <c r="I27" s="194" t="e">
        <f t="shared" si="9"/>
        <v>#DIV/0!</v>
      </c>
      <c r="J27" s="204">
        <f t="shared" si="10"/>
        <v>0</v>
      </c>
    </row>
    <row r="28" spans="1:13" x14ac:dyDescent="0.25">
      <c r="A28" s="193">
        <v>6</v>
      </c>
      <c r="B28" s="202"/>
      <c r="C28" s="202"/>
      <c r="D28" s="203"/>
      <c r="E28" s="203"/>
      <c r="F28" s="194" t="e">
        <f t="shared" si="7"/>
        <v>#DIV/0!</v>
      </c>
      <c r="G28" s="194" t="e">
        <f t="shared" si="8"/>
        <v>#DIV/0!</v>
      </c>
      <c r="H28" s="203"/>
      <c r="I28" s="194" t="e">
        <f t="shared" si="9"/>
        <v>#DIV/0!</v>
      </c>
      <c r="J28" s="204">
        <f t="shared" si="10"/>
        <v>0</v>
      </c>
    </row>
    <row r="29" spans="1:13" x14ac:dyDescent="0.25">
      <c r="A29" s="193">
        <v>7</v>
      </c>
      <c r="B29" s="202"/>
      <c r="C29" s="202"/>
      <c r="D29" s="203"/>
      <c r="E29" s="203"/>
      <c r="F29" s="194" t="e">
        <f>E29/C29</f>
        <v>#DIV/0!</v>
      </c>
      <c r="G29" s="194" t="e">
        <f>E29/D29</f>
        <v>#DIV/0!</v>
      </c>
      <c r="H29" s="203"/>
      <c r="I29" s="194" t="e">
        <f>F29*G29*H29</f>
        <v>#DIV/0!</v>
      </c>
      <c r="J29" s="204">
        <f>SUM(C29:D29)</f>
        <v>0</v>
      </c>
    </row>
    <row r="30" spans="1:13" x14ac:dyDescent="0.25">
      <c r="A30" s="595" t="s">
        <v>332</v>
      </c>
      <c r="B30" s="596"/>
      <c r="C30" s="194">
        <f>MAX(C23:C29)</f>
        <v>0</v>
      </c>
      <c r="D30" s="194">
        <f t="shared" ref="D30:I30" si="11">MAX(D23:D29)</f>
        <v>0</v>
      </c>
      <c r="E30" s="194">
        <f t="shared" si="11"/>
        <v>0</v>
      </c>
      <c r="F30" s="194" t="e">
        <f t="shared" si="11"/>
        <v>#DIV/0!</v>
      </c>
      <c r="G30" s="194" t="e">
        <f t="shared" si="11"/>
        <v>#DIV/0!</v>
      </c>
      <c r="H30" s="194">
        <f t="shared" si="11"/>
        <v>0</v>
      </c>
      <c r="I30" s="194" t="e">
        <f t="shared" si="11"/>
        <v>#DIV/0!</v>
      </c>
      <c r="J30" s="204">
        <f>MAX(J23:J29)</f>
        <v>0</v>
      </c>
    </row>
    <row r="31" spans="1:13" ht="15.75" thickBot="1" x14ac:dyDescent="0.3">
      <c r="A31" s="597" t="s">
        <v>333</v>
      </c>
      <c r="B31" s="598"/>
      <c r="C31" s="211">
        <f t="shared" ref="C31:J31" si="12">MIN(C23:C28)</f>
        <v>0</v>
      </c>
      <c r="D31" s="211">
        <f t="shared" si="12"/>
        <v>0</v>
      </c>
      <c r="E31" s="211">
        <f t="shared" si="12"/>
        <v>0</v>
      </c>
      <c r="F31" s="211" t="e">
        <f t="shared" si="12"/>
        <v>#DIV/0!</v>
      </c>
      <c r="G31" s="211" t="e">
        <f t="shared" si="12"/>
        <v>#DIV/0!</v>
      </c>
      <c r="H31" s="211">
        <f t="shared" si="12"/>
        <v>0</v>
      </c>
      <c r="I31" s="211" t="e">
        <f t="shared" si="12"/>
        <v>#DIV/0!</v>
      </c>
      <c r="J31" s="212">
        <f t="shared" si="12"/>
        <v>0</v>
      </c>
    </row>
    <row r="32" spans="1:13" ht="15.75" thickBot="1" x14ac:dyDescent="0.3">
      <c r="A32" s="599" t="s">
        <v>109</v>
      </c>
      <c r="B32" s="600"/>
      <c r="C32" s="213" t="e">
        <f>AVERAGE(C23:C29)</f>
        <v>#DIV/0!</v>
      </c>
      <c r="D32" s="213" t="e">
        <f t="shared" ref="D32:J32" si="13">AVERAGE(D23:D29)</f>
        <v>#DIV/0!</v>
      </c>
      <c r="E32" s="213" t="e">
        <f t="shared" si="13"/>
        <v>#DIV/0!</v>
      </c>
      <c r="F32" s="213" t="e">
        <f t="shared" si="13"/>
        <v>#DIV/0!</v>
      </c>
      <c r="G32" s="213" t="e">
        <f t="shared" si="13"/>
        <v>#DIV/0!</v>
      </c>
      <c r="H32" s="213" t="e">
        <f t="shared" si="13"/>
        <v>#DIV/0!</v>
      </c>
      <c r="I32" s="213" t="e">
        <f t="shared" si="13"/>
        <v>#DIV/0!</v>
      </c>
      <c r="J32" s="214">
        <f t="shared" si="13"/>
        <v>0</v>
      </c>
    </row>
    <row r="33" spans="1:10" ht="15.75" thickBot="1" x14ac:dyDescent="0.3"/>
    <row r="34" spans="1:10" x14ac:dyDescent="0.25">
      <c r="A34" s="197" t="s">
        <v>106</v>
      </c>
      <c r="B34" s="601"/>
      <c r="C34" s="602"/>
      <c r="D34" s="602"/>
      <c r="E34" s="602"/>
      <c r="F34" s="610" t="s">
        <v>334</v>
      </c>
      <c r="G34" s="610"/>
      <c r="H34" s="602"/>
      <c r="I34" s="602"/>
      <c r="J34" s="611"/>
    </row>
    <row r="35" spans="1:10" x14ac:dyDescent="0.25">
      <c r="A35" s="198" t="s">
        <v>107</v>
      </c>
      <c r="B35" s="603"/>
      <c r="C35" s="604"/>
      <c r="D35" s="604"/>
      <c r="E35" s="604"/>
      <c r="F35" s="604"/>
      <c r="G35" s="604"/>
      <c r="H35" s="604"/>
      <c r="I35" s="604"/>
      <c r="J35" s="605"/>
    </row>
    <row r="36" spans="1:10" ht="15.75" thickBot="1" x14ac:dyDescent="0.3">
      <c r="A36" s="199" t="s">
        <v>327</v>
      </c>
      <c r="B36" s="606"/>
      <c r="C36" s="607"/>
      <c r="D36" s="218" t="s">
        <v>68</v>
      </c>
      <c r="E36" s="210"/>
      <c r="F36" s="608" t="s">
        <v>338</v>
      </c>
      <c r="G36" s="609"/>
      <c r="H36" s="609"/>
      <c r="I36" s="609"/>
      <c r="J36" s="206"/>
    </row>
    <row r="37" spans="1:10" ht="15.75" thickBot="1" x14ac:dyDescent="0.3">
      <c r="A37" s="216" t="s">
        <v>339</v>
      </c>
      <c r="B37" s="215" t="s">
        <v>328</v>
      </c>
      <c r="C37" s="215" t="s">
        <v>108</v>
      </c>
      <c r="D37" s="215" t="s">
        <v>329</v>
      </c>
      <c r="E37" s="215" t="s">
        <v>341</v>
      </c>
      <c r="F37" s="215" t="s">
        <v>330</v>
      </c>
      <c r="G37" s="215" t="s">
        <v>335</v>
      </c>
      <c r="H37" s="215" t="s">
        <v>336</v>
      </c>
      <c r="I37" s="215" t="s">
        <v>331</v>
      </c>
      <c r="J37" s="217" t="s">
        <v>110</v>
      </c>
    </row>
    <row r="38" spans="1:10" x14ac:dyDescent="0.25">
      <c r="A38" s="195">
        <v>1</v>
      </c>
      <c r="B38" s="200"/>
      <c r="C38" s="200"/>
      <c r="D38" s="201"/>
      <c r="E38" s="201"/>
      <c r="F38" s="196" t="e">
        <f>E38/C38</f>
        <v>#DIV/0!</v>
      </c>
      <c r="G38" s="196" t="e">
        <f>E38/D38</f>
        <v>#DIV/0!</v>
      </c>
      <c r="H38" s="201"/>
      <c r="I38" s="196" t="e">
        <f>F38*G38*H38</f>
        <v>#DIV/0!</v>
      </c>
      <c r="J38" s="205">
        <f>SUM(C38:D38)</f>
        <v>0</v>
      </c>
    </row>
    <row r="39" spans="1:10" x14ac:dyDescent="0.25">
      <c r="A39" s="193">
        <v>2</v>
      </c>
      <c r="B39" s="202"/>
      <c r="C39" s="202"/>
      <c r="D39" s="203"/>
      <c r="E39" s="203"/>
      <c r="F39" s="194" t="e">
        <f t="shared" ref="F39:F43" si="14">E39/C39</f>
        <v>#DIV/0!</v>
      </c>
      <c r="G39" s="194" t="e">
        <f t="shared" ref="G39:G43" si="15">E39/D39</f>
        <v>#DIV/0!</v>
      </c>
      <c r="H39" s="203"/>
      <c r="I39" s="194" t="e">
        <f t="shared" ref="I39:I43" si="16">F39*G39*H39</f>
        <v>#DIV/0!</v>
      </c>
      <c r="J39" s="204">
        <f t="shared" ref="J39:J43" si="17">SUM(C39:D39)</f>
        <v>0</v>
      </c>
    </row>
    <row r="40" spans="1:10" x14ac:dyDescent="0.25">
      <c r="A40" s="193">
        <v>3</v>
      </c>
      <c r="B40" s="202"/>
      <c r="C40" s="202"/>
      <c r="D40" s="203"/>
      <c r="E40" s="203"/>
      <c r="F40" s="194" t="e">
        <f t="shared" si="14"/>
        <v>#DIV/0!</v>
      </c>
      <c r="G40" s="194" t="e">
        <f t="shared" si="15"/>
        <v>#DIV/0!</v>
      </c>
      <c r="H40" s="203"/>
      <c r="I40" s="194" t="e">
        <f t="shared" si="16"/>
        <v>#DIV/0!</v>
      </c>
      <c r="J40" s="204">
        <f t="shared" si="17"/>
        <v>0</v>
      </c>
    </row>
    <row r="41" spans="1:10" x14ac:dyDescent="0.25">
      <c r="A41" s="193">
        <v>4</v>
      </c>
      <c r="B41" s="202"/>
      <c r="C41" s="202"/>
      <c r="D41" s="203"/>
      <c r="E41" s="203"/>
      <c r="F41" s="194" t="e">
        <f t="shared" si="14"/>
        <v>#DIV/0!</v>
      </c>
      <c r="G41" s="194" t="e">
        <f t="shared" si="15"/>
        <v>#DIV/0!</v>
      </c>
      <c r="H41" s="203"/>
      <c r="I41" s="194" t="e">
        <f t="shared" si="16"/>
        <v>#DIV/0!</v>
      </c>
      <c r="J41" s="204">
        <f t="shared" si="17"/>
        <v>0</v>
      </c>
    </row>
    <row r="42" spans="1:10" x14ac:dyDescent="0.25">
      <c r="A42" s="193">
        <v>5</v>
      </c>
      <c r="B42" s="202"/>
      <c r="C42" s="202"/>
      <c r="D42" s="203"/>
      <c r="E42" s="203"/>
      <c r="F42" s="194" t="e">
        <f t="shared" si="14"/>
        <v>#DIV/0!</v>
      </c>
      <c r="G42" s="194" t="e">
        <f t="shared" si="15"/>
        <v>#DIV/0!</v>
      </c>
      <c r="H42" s="203"/>
      <c r="I42" s="194" t="e">
        <f t="shared" si="16"/>
        <v>#DIV/0!</v>
      </c>
      <c r="J42" s="204">
        <f t="shared" si="17"/>
        <v>0</v>
      </c>
    </row>
    <row r="43" spans="1:10" x14ac:dyDescent="0.25">
      <c r="A43" s="193">
        <v>6</v>
      </c>
      <c r="B43" s="202"/>
      <c r="C43" s="202"/>
      <c r="D43" s="203"/>
      <c r="E43" s="203"/>
      <c r="F43" s="194" t="e">
        <f t="shared" si="14"/>
        <v>#DIV/0!</v>
      </c>
      <c r="G43" s="194" t="e">
        <f t="shared" si="15"/>
        <v>#DIV/0!</v>
      </c>
      <c r="H43" s="203"/>
      <c r="I43" s="194" t="e">
        <f t="shared" si="16"/>
        <v>#DIV/0!</v>
      </c>
      <c r="J43" s="204">
        <f t="shared" si="17"/>
        <v>0</v>
      </c>
    </row>
    <row r="44" spans="1:10" x14ac:dyDescent="0.25">
      <c r="A44" s="193">
        <v>7</v>
      </c>
      <c r="B44" s="202"/>
      <c r="C44" s="202"/>
      <c r="D44" s="203"/>
      <c r="E44" s="203"/>
      <c r="F44" s="194" t="e">
        <f>E44/C44</f>
        <v>#DIV/0!</v>
      </c>
      <c r="G44" s="194" t="e">
        <f>E44/D44</f>
        <v>#DIV/0!</v>
      </c>
      <c r="H44" s="203"/>
      <c r="I44" s="194" t="e">
        <f>F44*G44*H44</f>
        <v>#DIV/0!</v>
      </c>
      <c r="J44" s="204">
        <f>SUM(C44:D44)</f>
        <v>0</v>
      </c>
    </row>
    <row r="45" spans="1:10" x14ac:dyDescent="0.25">
      <c r="A45" s="595" t="s">
        <v>332</v>
      </c>
      <c r="B45" s="596"/>
      <c r="C45" s="194">
        <f>MAX(C38:C44)</f>
        <v>0</v>
      </c>
      <c r="D45" s="194">
        <f t="shared" ref="D45:I45" si="18">MAX(D38:D44)</f>
        <v>0</v>
      </c>
      <c r="E45" s="194">
        <f t="shared" si="18"/>
        <v>0</v>
      </c>
      <c r="F45" s="194" t="e">
        <f t="shared" si="18"/>
        <v>#DIV/0!</v>
      </c>
      <c r="G45" s="194" t="e">
        <f t="shared" si="18"/>
        <v>#DIV/0!</v>
      </c>
      <c r="H45" s="194">
        <f t="shared" si="18"/>
        <v>0</v>
      </c>
      <c r="I45" s="194" t="e">
        <f t="shared" si="18"/>
        <v>#DIV/0!</v>
      </c>
      <c r="J45" s="204">
        <f>MAX(J38:J44)</f>
        <v>0</v>
      </c>
    </row>
    <row r="46" spans="1:10" ht="15.75" thickBot="1" x14ac:dyDescent="0.3">
      <c r="A46" s="597" t="s">
        <v>333</v>
      </c>
      <c r="B46" s="598"/>
      <c r="C46" s="211">
        <f t="shared" ref="C46:J46" si="19">MIN(C38:C43)</f>
        <v>0</v>
      </c>
      <c r="D46" s="211">
        <f t="shared" si="19"/>
        <v>0</v>
      </c>
      <c r="E46" s="211">
        <f t="shared" si="19"/>
        <v>0</v>
      </c>
      <c r="F46" s="211" t="e">
        <f t="shared" si="19"/>
        <v>#DIV/0!</v>
      </c>
      <c r="G46" s="211" t="e">
        <f t="shared" si="19"/>
        <v>#DIV/0!</v>
      </c>
      <c r="H46" s="211">
        <f t="shared" si="19"/>
        <v>0</v>
      </c>
      <c r="I46" s="211" t="e">
        <f t="shared" si="19"/>
        <v>#DIV/0!</v>
      </c>
      <c r="J46" s="212">
        <f t="shared" si="19"/>
        <v>0</v>
      </c>
    </row>
    <row r="47" spans="1:10" ht="15.75" thickBot="1" x14ac:dyDescent="0.3">
      <c r="A47" s="599" t="s">
        <v>109</v>
      </c>
      <c r="B47" s="600"/>
      <c r="C47" s="213" t="e">
        <f>AVERAGE(C38:C44)</f>
        <v>#DIV/0!</v>
      </c>
      <c r="D47" s="213" t="e">
        <f t="shared" ref="D47:J47" si="20">AVERAGE(D38:D44)</f>
        <v>#DIV/0!</v>
      </c>
      <c r="E47" s="213" t="e">
        <f t="shared" si="20"/>
        <v>#DIV/0!</v>
      </c>
      <c r="F47" s="213" t="e">
        <f t="shared" si="20"/>
        <v>#DIV/0!</v>
      </c>
      <c r="G47" s="213" t="e">
        <f t="shared" si="20"/>
        <v>#DIV/0!</v>
      </c>
      <c r="H47" s="213" t="e">
        <f t="shared" si="20"/>
        <v>#DIV/0!</v>
      </c>
      <c r="I47" s="213" t="e">
        <f t="shared" si="20"/>
        <v>#DIV/0!</v>
      </c>
      <c r="J47" s="214">
        <f t="shared" si="20"/>
        <v>0</v>
      </c>
    </row>
    <row r="48" spans="1:10" ht="15.75" thickBot="1" x14ac:dyDescent="0.3"/>
    <row r="49" spans="1:10" x14ac:dyDescent="0.25">
      <c r="A49" s="197" t="s">
        <v>106</v>
      </c>
      <c r="B49" s="601"/>
      <c r="C49" s="602"/>
      <c r="D49" s="602"/>
      <c r="E49" s="602"/>
      <c r="F49" s="610" t="s">
        <v>334</v>
      </c>
      <c r="G49" s="610"/>
      <c r="H49" s="602"/>
      <c r="I49" s="602"/>
      <c r="J49" s="611"/>
    </row>
    <row r="50" spans="1:10" x14ac:dyDescent="0.25">
      <c r="A50" s="198" t="s">
        <v>107</v>
      </c>
      <c r="B50" s="603"/>
      <c r="C50" s="604"/>
      <c r="D50" s="604"/>
      <c r="E50" s="604"/>
      <c r="F50" s="604"/>
      <c r="G50" s="604"/>
      <c r="H50" s="604"/>
      <c r="I50" s="604"/>
      <c r="J50" s="605"/>
    </row>
    <row r="51" spans="1:10" ht="15.75" thickBot="1" x14ac:dyDescent="0.3">
      <c r="A51" s="199" t="s">
        <v>327</v>
      </c>
      <c r="B51" s="606"/>
      <c r="C51" s="607"/>
      <c r="D51" s="218" t="s">
        <v>68</v>
      </c>
      <c r="E51" s="210"/>
      <c r="F51" s="608" t="s">
        <v>338</v>
      </c>
      <c r="G51" s="609"/>
      <c r="H51" s="609"/>
      <c r="I51" s="609"/>
      <c r="J51" s="206"/>
    </row>
    <row r="52" spans="1:10" ht="15.75" thickBot="1" x14ac:dyDescent="0.3">
      <c r="A52" s="216" t="s">
        <v>339</v>
      </c>
      <c r="B52" s="215" t="s">
        <v>328</v>
      </c>
      <c r="C52" s="215" t="s">
        <v>108</v>
      </c>
      <c r="D52" s="215" t="s">
        <v>329</v>
      </c>
      <c r="E52" s="215" t="s">
        <v>341</v>
      </c>
      <c r="F52" s="215" t="s">
        <v>330</v>
      </c>
      <c r="G52" s="215" t="s">
        <v>335</v>
      </c>
      <c r="H52" s="215" t="s">
        <v>336</v>
      </c>
      <c r="I52" s="215" t="s">
        <v>331</v>
      </c>
      <c r="J52" s="217" t="s">
        <v>110</v>
      </c>
    </row>
    <row r="53" spans="1:10" x14ac:dyDescent="0.25">
      <c r="A53" s="195">
        <v>1</v>
      </c>
      <c r="B53" s="200"/>
      <c r="C53" s="200"/>
      <c r="D53" s="201"/>
      <c r="E53" s="201"/>
      <c r="F53" s="196" t="e">
        <f>E53/C53</f>
        <v>#DIV/0!</v>
      </c>
      <c r="G53" s="196" t="e">
        <f>E53/D53</f>
        <v>#DIV/0!</v>
      </c>
      <c r="H53" s="201"/>
      <c r="I53" s="196" t="e">
        <f>F53*G53*H53</f>
        <v>#DIV/0!</v>
      </c>
      <c r="J53" s="205">
        <f>SUM(C53:D53)</f>
        <v>0</v>
      </c>
    </row>
    <row r="54" spans="1:10" x14ac:dyDescent="0.25">
      <c r="A54" s="193">
        <v>2</v>
      </c>
      <c r="B54" s="202"/>
      <c r="C54" s="202"/>
      <c r="D54" s="203"/>
      <c r="E54" s="203"/>
      <c r="F54" s="194" t="e">
        <f t="shared" ref="F54:F58" si="21">E54/C54</f>
        <v>#DIV/0!</v>
      </c>
      <c r="G54" s="194" t="e">
        <f t="shared" ref="G54:G58" si="22">E54/D54</f>
        <v>#DIV/0!</v>
      </c>
      <c r="H54" s="203"/>
      <c r="I54" s="194" t="e">
        <f t="shared" ref="I54:I58" si="23">F54*G54*H54</f>
        <v>#DIV/0!</v>
      </c>
      <c r="J54" s="204">
        <f t="shared" ref="J54:J58" si="24">SUM(C54:D54)</f>
        <v>0</v>
      </c>
    </row>
    <row r="55" spans="1:10" x14ac:dyDescent="0.25">
      <c r="A55" s="193">
        <v>3</v>
      </c>
      <c r="B55" s="202"/>
      <c r="C55" s="202"/>
      <c r="D55" s="203"/>
      <c r="E55" s="203"/>
      <c r="F55" s="194" t="e">
        <f t="shared" si="21"/>
        <v>#DIV/0!</v>
      </c>
      <c r="G55" s="194" t="e">
        <f t="shared" si="22"/>
        <v>#DIV/0!</v>
      </c>
      <c r="H55" s="203"/>
      <c r="I55" s="194" t="e">
        <f t="shared" si="23"/>
        <v>#DIV/0!</v>
      </c>
      <c r="J55" s="204">
        <f t="shared" si="24"/>
        <v>0</v>
      </c>
    </row>
    <row r="56" spans="1:10" x14ac:dyDescent="0.25">
      <c r="A56" s="193">
        <v>4</v>
      </c>
      <c r="B56" s="202"/>
      <c r="C56" s="202"/>
      <c r="D56" s="203"/>
      <c r="E56" s="203"/>
      <c r="F56" s="194" t="e">
        <f t="shared" si="21"/>
        <v>#DIV/0!</v>
      </c>
      <c r="G56" s="194" t="e">
        <f t="shared" si="22"/>
        <v>#DIV/0!</v>
      </c>
      <c r="H56" s="203"/>
      <c r="I56" s="194" t="e">
        <f t="shared" si="23"/>
        <v>#DIV/0!</v>
      </c>
      <c r="J56" s="204">
        <f t="shared" si="24"/>
        <v>0</v>
      </c>
    </row>
    <row r="57" spans="1:10" x14ac:dyDescent="0.25">
      <c r="A57" s="193">
        <v>5</v>
      </c>
      <c r="B57" s="202"/>
      <c r="C57" s="202"/>
      <c r="D57" s="203"/>
      <c r="E57" s="203"/>
      <c r="F57" s="194" t="e">
        <f t="shared" si="21"/>
        <v>#DIV/0!</v>
      </c>
      <c r="G57" s="194" t="e">
        <f t="shared" si="22"/>
        <v>#DIV/0!</v>
      </c>
      <c r="H57" s="203"/>
      <c r="I57" s="194" t="e">
        <f t="shared" si="23"/>
        <v>#DIV/0!</v>
      </c>
      <c r="J57" s="204">
        <f t="shared" si="24"/>
        <v>0</v>
      </c>
    </row>
    <row r="58" spans="1:10" x14ac:dyDescent="0.25">
      <c r="A58" s="193">
        <v>6</v>
      </c>
      <c r="B58" s="202"/>
      <c r="C58" s="202"/>
      <c r="D58" s="203"/>
      <c r="E58" s="203"/>
      <c r="F58" s="194" t="e">
        <f t="shared" si="21"/>
        <v>#DIV/0!</v>
      </c>
      <c r="G58" s="194" t="e">
        <f t="shared" si="22"/>
        <v>#DIV/0!</v>
      </c>
      <c r="H58" s="203"/>
      <c r="I58" s="194" t="e">
        <f t="shared" si="23"/>
        <v>#DIV/0!</v>
      </c>
      <c r="J58" s="204">
        <f t="shared" si="24"/>
        <v>0</v>
      </c>
    </row>
    <row r="59" spans="1:10" x14ac:dyDescent="0.25">
      <c r="A59" s="193">
        <v>7</v>
      </c>
      <c r="B59" s="202"/>
      <c r="C59" s="202"/>
      <c r="D59" s="203"/>
      <c r="E59" s="203"/>
      <c r="F59" s="194" t="e">
        <f>E59/C59</f>
        <v>#DIV/0!</v>
      </c>
      <c r="G59" s="194" t="e">
        <f>E59/D59</f>
        <v>#DIV/0!</v>
      </c>
      <c r="H59" s="203"/>
      <c r="I59" s="194" t="e">
        <f>F59*G59*H59</f>
        <v>#DIV/0!</v>
      </c>
      <c r="J59" s="204">
        <f>SUM(C59:D59)</f>
        <v>0</v>
      </c>
    </row>
    <row r="60" spans="1:10" x14ac:dyDescent="0.25">
      <c r="A60" s="595" t="s">
        <v>332</v>
      </c>
      <c r="B60" s="596"/>
      <c r="C60" s="194">
        <f>MAX(C53:C59)</f>
        <v>0</v>
      </c>
      <c r="D60" s="194">
        <f t="shared" ref="D60:I60" si="25">MAX(D53:D59)</f>
        <v>0</v>
      </c>
      <c r="E60" s="194">
        <f t="shared" si="25"/>
        <v>0</v>
      </c>
      <c r="F60" s="194" t="e">
        <f t="shared" si="25"/>
        <v>#DIV/0!</v>
      </c>
      <c r="G60" s="194" t="e">
        <f t="shared" si="25"/>
        <v>#DIV/0!</v>
      </c>
      <c r="H60" s="194">
        <f t="shared" si="25"/>
        <v>0</v>
      </c>
      <c r="I60" s="194" t="e">
        <f t="shared" si="25"/>
        <v>#DIV/0!</v>
      </c>
      <c r="J60" s="204">
        <f>MAX(J53:J59)</f>
        <v>0</v>
      </c>
    </row>
    <row r="61" spans="1:10" ht="15.75" thickBot="1" x14ac:dyDescent="0.3">
      <c r="A61" s="597" t="s">
        <v>333</v>
      </c>
      <c r="B61" s="598"/>
      <c r="C61" s="211">
        <f t="shared" ref="C61:J61" si="26">MIN(C53:C58)</f>
        <v>0</v>
      </c>
      <c r="D61" s="211">
        <f t="shared" si="26"/>
        <v>0</v>
      </c>
      <c r="E61" s="211">
        <f t="shared" si="26"/>
        <v>0</v>
      </c>
      <c r="F61" s="211" t="e">
        <f t="shared" si="26"/>
        <v>#DIV/0!</v>
      </c>
      <c r="G61" s="211" t="e">
        <f t="shared" si="26"/>
        <v>#DIV/0!</v>
      </c>
      <c r="H61" s="211">
        <f t="shared" si="26"/>
        <v>0</v>
      </c>
      <c r="I61" s="211" t="e">
        <f t="shared" si="26"/>
        <v>#DIV/0!</v>
      </c>
      <c r="J61" s="212">
        <f t="shared" si="26"/>
        <v>0</v>
      </c>
    </row>
    <row r="62" spans="1:10" ht="15.75" thickBot="1" x14ac:dyDescent="0.3">
      <c r="A62" s="599" t="s">
        <v>109</v>
      </c>
      <c r="B62" s="600"/>
      <c r="C62" s="213" t="e">
        <f>AVERAGE(C53:C59)</f>
        <v>#DIV/0!</v>
      </c>
      <c r="D62" s="213" t="e">
        <f t="shared" ref="D62:J62" si="27">AVERAGE(D53:D59)</f>
        <v>#DIV/0!</v>
      </c>
      <c r="E62" s="213" t="e">
        <f t="shared" si="27"/>
        <v>#DIV/0!</v>
      </c>
      <c r="F62" s="213" t="e">
        <f t="shared" si="27"/>
        <v>#DIV/0!</v>
      </c>
      <c r="G62" s="213" t="e">
        <f t="shared" si="27"/>
        <v>#DIV/0!</v>
      </c>
      <c r="H62" s="213" t="e">
        <f t="shared" si="27"/>
        <v>#DIV/0!</v>
      </c>
      <c r="I62" s="213" t="e">
        <f t="shared" si="27"/>
        <v>#DIV/0!</v>
      </c>
      <c r="J62" s="214">
        <f t="shared" si="27"/>
        <v>0</v>
      </c>
    </row>
    <row r="63" spans="1:10" ht="15.75" thickBot="1" x14ac:dyDescent="0.3"/>
    <row r="64" spans="1:10" x14ac:dyDescent="0.25">
      <c r="A64" s="197" t="s">
        <v>106</v>
      </c>
      <c r="B64" s="601"/>
      <c r="C64" s="602"/>
      <c r="D64" s="602"/>
      <c r="E64" s="602"/>
      <c r="F64" s="610" t="s">
        <v>334</v>
      </c>
      <c r="G64" s="610"/>
      <c r="H64" s="602"/>
      <c r="I64" s="602"/>
      <c r="J64" s="611"/>
    </row>
    <row r="65" spans="1:10" x14ac:dyDescent="0.25">
      <c r="A65" s="198" t="s">
        <v>107</v>
      </c>
      <c r="B65" s="603"/>
      <c r="C65" s="604"/>
      <c r="D65" s="604"/>
      <c r="E65" s="604"/>
      <c r="F65" s="604"/>
      <c r="G65" s="604"/>
      <c r="H65" s="604"/>
      <c r="I65" s="604"/>
      <c r="J65" s="605"/>
    </row>
    <row r="66" spans="1:10" ht="15.75" thickBot="1" x14ac:dyDescent="0.3">
      <c r="A66" s="199" t="s">
        <v>327</v>
      </c>
      <c r="B66" s="606"/>
      <c r="C66" s="607"/>
      <c r="D66" s="218" t="s">
        <v>68</v>
      </c>
      <c r="E66" s="210"/>
      <c r="F66" s="608" t="s">
        <v>338</v>
      </c>
      <c r="G66" s="609"/>
      <c r="H66" s="609"/>
      <c r="I66" s="609"/>
      <c r="J66" s="206"/>
    </row>
    <row r="67" spans="1:10" ht="15.75" thickBot="1" x14ac:dyDescent="0.3">
      <c r="A67" s="216" t="s">
        <v>339</v>
      </c>
      <c r="B67" s="215" t="s">
        <v>328</v>
      </c>
      <c r="C67" s="215" t="s">
        <v>108</v>
      </c>
      <c r="D67" s="215" t="s">
        <v>329</v>
      </c>
      <c r="E67" s="215" t="s">
        <v>341</v>
      </c>
      <c r="F67" s="215" t="s">
        <v>330</v>
      </c>
      <c r="G67" s="215" t="s">
        <v>335</v>
      </c>
      <c r="H67" s="215" t="s">
        <v>336</v>
      </c>
      <c r="I67" s="215" t="s">
        <v>331</v>
      </c>
      <c r="J67" s="217" t="s">
        <v>110</v>
      </c>
    </row>
    <row r="68" spans="1:10" x14ac:dyDescent="0.25">
      <c r="A68" s="195">
        <v>1</v>
      </c>
      <c r="B68" s="200"/>
      <c r="C68" s="200"/>
      <c r="D68" s="201"/>
      <c r="E68" s="201"/>
      <c r="F68" s="196" t="e">
        <f>E68/C68</f>
        <v>#DIV/0!</v>
      </c>
      <c r="G68" s="196" t="e">
        <f>E68/D68</f>
        <v>#DIV/0!</v>
      </c>
      <c r="H68" s="201"/>
      <c r="I68" s="196" t="e">
        <f>F68*G68*H68</f>
        <v>#DIV/0!</v>
      </c>
      <c r="J68" s="205">
        <f>SUM(C68:D68)</f>
        <v>0</v>
      </c>
    </row>
    <row r="69" spans="1:10" x14ac:dyDescent="0.25">
      <c r="A69" s="193">
        <v>2</v>
      </c>
      <c r="B69" s="202"/>
      <c r="C69" s="202"/>
      <c r="D69" s="203"/>
      <c r="E69" s="203"/>
      <c r="F69" s="194" t="e">
        <f t="shared" ref="F69:F73" si="28">E69/C69</f>
        <v>#DIV/0!</v>
      </c>
      <c r="G69" s="194" t="e">
        <f t="shared" ref="G69:G73" si="29">E69/D69</f>
        <v>#DIV/0!</v>
      </c>
      <c r="H69" s="203"/>
      <c r="I69" s="194" t="e">
        <f t="shared" ref="I69:I73" si="30">F69*G69*H69</f>
        <v>#DIV/0!</v>
      </c>
      <c r="J69" s="204">
        <f t="shared" ref="J69:J73" si="31">SUM(C69:D69)</f>
        <v>0</v>
      </c>
    </row>
    <row r="70" spans="1:10" x14ac:dyDescent="0.25">
      <c r="A70" s="193">
        <v>3</v>
      </c>
      <c r="B70" s="202"/>
      <c r="C70" s="202"/>
      <c r="D70" s="203"/>
      <c r="E70" s="203"/>
      <c r="F70" s="194" t="e">
        <f t="shared" si="28"/>
        <v>#DIV/0!</v>
      </c>
      <c r="G70" s="194" t="e">
        <f t="shared" si="29"/>
        <v>#DIV/0!</v>
      </c>
      <c r="H70" s="203"/>
      <c r="I70" s="194" t="e">
        <f t="shared" si="30"/>
        <v>#DIV/0!</v>
      </c>
      <c r="J70" s="204">
        <f t="shared" si="31"/>
        <v>0</v>
      </c>
    </row>
    <row r="71" spans="1:10" x14ac:dyDescent="0.25">
      <c r="A71" s="193">
        <v>4</v>
      </c>
      <c r="B71" s="202"/>
      <c r="C71" s="202"/>
      <c r="D71" s="203"/>
      <c r="E71" s="203"/>
      <c r="F71" s="194" t="e">
        <f t="shared" si="28"/>
        <v>#DIV/0!</v>
      </c>
      <c r="G71" s="194" t="e">
        <f t="shared" si="29"/>
        <v>#DIV/0!</v>
      </c>
      <c r="H71" s="203"/>
      <c r="I71" s="194" t="e">
        <f t="shared" si="30"/>
        <v>#DIV/0!</v>
      </c>
      <c r="J71" s="204">
        <f t="shared" si="31"/>
        <v>0</v>
      </c>
    </row>
    <row r="72" spans="1:10" x14ac:dyDescent="0.25">
      <c r="A72" s="193">
        <v>5</v>
      </c>
      <c r="B72" s="202"/>
      <c r="C72" s="202"/>
      <c r="D72" s="203"/>
      <c r="E72" s="203"/>
      <c r="F72" s="194" t="e">
        <f t="shared" si="28"/>
        <v>#DIV/0!</v>
      </c>
      <c r="G72" s="194" t="e">
        <f t="shared" si="29"/>
        <v>#DIV/0!</v>
      </c>
      <c r="H72" s="203"/>
      <c r="I72" s="194" t="e">
        <f t="shared" si="30"/>
        <v>#DIV/0!</v>
      </c>
      <c r="J72" s="204">
        <f t="shared" si="31"/>
        <v>0</v>
      </c>
    </row>
    <row r="73" spans="1:10" x14ac:dyDescent="0.25">
      <c r="A73" s="193">
        <v>6</v>
      </c>
      <c r="B73" s="202"/>
      <c r="C73" s="202"/>
      <c r="D73" s="203"/>
      <c r="E73" s="203"/>
      <c r="F73" s="194" t="e">
        <f t="shared" si="28"/>
        <v>#DIV/0!</v>
      </c>
      <c r="G73" s="194" t="e">
        <f t="shared" si="29"/>
        <v>#DIV/0!</v>
      </c>
      <c r="H73" s="203"/>
      <c r="I73" s="194" t="e">
        <f t="shared" si="30"/>
        <v>#DIV/0!</v>
      </c>
      <c r="J73" s="204">
        <f t="shared" si="31"/>
        <v>0</v>
      </c>
    </row>
    <row r="74" spans="1:10" x14ac:dyDescent="0.25">
      <c r="A74" s="193">
        <v>7</v>
      </c>
      <c r="B74" s="202"/>
      <c r="C74" s="202"/>
      <c r="D74" s="203"/>
      <c r="E74" s="203"/>
      <c r="F74" s="194" t="e">
        <f>E74/C74</f>
        <v>#DIV/0!</v>
      </c>
      <c r="G74" s="194" t="e">
        <f>E74/D74</f>
        <v>#DIV/0!</v>
      </c>
      <c r="H74" s="203"/>
      <c r="I74" s="194" t="e">
        <f>F74*G74*H74</f>
        <v>#DIV/0!</v>
      </c>
      <c r="J74" s="204">
        <f>SUM(C74:D74)</f>
        <v>0</v>
      </c>
    </row>
    <row r="75" spans="1:10" x14ac:dyDescent="0.25">
      <c r="A75" s="595" t="s">
        <v>332</v>
      </c>
      <c r="B75" s="596"/>
      <c r="C75" s="194">
        <f>MAX(C68:C74)</f>
        <v>0</v>
      </c>
      <c r="D75" s="194">
        <f t="shared" ref="D75:I75" si="32">MAX(D68:D74)</f>
        <v>0</v>
      </c>
      <c r="E75" s="194">
        <f t="shared" si="32"/>
        <v>0</v>
      </c>
      <c r="F75" s="194" t="e">
        <f t="shared" si="32"/>
        <v>#DIV/0!</v>
      </c>
      <c r="G75" s="194" t="e">
        <f t="shared" si="32"/>
        <v>#DIV/0!</v>
      </c>
      <c r="H75" s="194">
        <f t="shared" si="32"/>
        <v>0</v>
      </c>
      <c r="I75" s="194" t="e">
        <f t="shared" si="32"/>
        <v>#DIV/0!</v>
      </c>
      <c r="J75" s="204">
        <f>MAX(J68:J74)</f>
        <v>0</v>
      </c>
    </row>
    <row r="76" spans="1:10" ht="15.75" thickBot="1" x14ac:dyDescent="0.3">
      <c r="A76" s="597" t="s">
        <v>333</v>
      </c>
      <c r="B76" s="598"/>
      <c r="C76" s="211">
        <f t="shared" ref="C76:J76" si="33">MIN(C68:C73)</f>
        <v>0</v>
      </c>
      <c r="D76" s="211">
        <f t="shared" si="33"/>
        <v>0</v>
      </c>
      <c r="E76" s="211">
        <f t="shared" si="33"/>
        <v>0</v>
      </c>
      <c r="F76" s="211" t="e">
        <f t="shared" si="33"/>
        <v>#DIV/0!</v>
      </c>
      <c r="G76" s="211" t="e">
        <f t="shared" si="33"/>
        <v>#DIV/0!</v>
      </c>
      <c r="H76" s="211">
        <f t="shared" si="33"/>
        <v>0</v>
      </c>
      <c r="I76" s="211" t="e">
        <f t="shared" si="33"/>
        <v>#DIV/0!</v>
      </c>
      <c r="J76" s="212">
        <f t="shared" si="33"/>
        <v>0</v>
      </c>
    </row>
    <row r="77" spans="1:10" ht="15.75" thickBot="1" x14ac:dyDescent="0.3">
      <c r="A77" s="599" t="s">
        <v>109</v>
      </c>
      <c r="B77" s="600"/>
      <c r="C77" s="213" t="e">
        <f>AVERAGE(C68:C74)</f>
        <v>#DIV/0!</v>
      </c>
      <c r="D77" s="213" t="e">
        <f t="shared" ref="D77:J77" si="34">AVERAGE(D68:D74)</f>
        <v>#DIV/0!</v>
      </c>
      <c r="E77" s="213" t="e">
        <f t="shared" si="34"/>
        <v>#DIV/0!</v>
      </c>
      <c r="F77" s="213" t="e">
        <f t="shared" si="34"/>
        <v>#DIV/0!</v>
      </c>
      <c r="G77" s="213" t="e">
        <f t="shared" si="34"/>
        <v>#DIV/0!</v>
      </c>
      <c r="H77" s="213" t="e">
        <f t="shared" si="34"/>
        <v>#DIV/0!</v>
      </c>
      <c r="I77" s="213" t="e">
        <f t="shared" si="34"/>
        <v>#DIV/0!</v>
      </c>
      <c r="J77" s="214">
        <f t="shared" si="34"/>
        <v>0</v>
      </c>
    </row>
  </sheetData>
  <mergeCells count="50">
    <mergeCell ref="A2:J2"/>
    <mergeCell ref="A1:J1"/>
    <mergeCell ref="B4:E4"/>
    <mergeCell ref="F4:G4"/>
    <mergeCell ref="H4:J4"/>
    <mergeCell ref="A3:J3"/>
    <mergeCell ref="L5:M5"/>
    <mergeCell ref="A15:B15"/>
    <mergeCell ref="L19:M19"/>
    <mergeCell ref="F34:G34"/>
    <mergeCell ref="H34:J34"/>
    <mergeCell ref="B19:E19"/>
    <mergeCell ref="F19:G19"/>
    <mergeCell ref="H19:J19"/>
    <mergeCell ref="B20:J20"/>
    <mergeCell ref="B21:C21"/>
    <mergeCell ref="F21:I21"/>
    <mergeCell ref="A16:B16"/>
    <mergeCell ref="A17:B17"/>
    <mergeCell ref="B5:J5"/>
    <mergeCell ref="B6:C6"/>
    <mergeCell ref="F6:I6"/>
    <mergeCell ref="A47:B47"/>
    <mergeCell ref="A30:B30"/>
    <mergeCell ref="A31:B31"/>
    <mergeCell ref="A32:B32"/>
    <mergeCell ref="B34:E34"/>
    <mergeCell ref="B35:J35"/>
    <mergeCell ref="B36:C36"/>
    <mergeCell ref="F36:I36"/>
    <mergeCell ref="A45:B45"/>
    <mergeCell ref="A46:B46"/>
    <mergeCell ref="B49:E49"/>
    <mergeCell ref="F49:G49"/>
    <mergeCell ref="H49:J49"/>
    <mergeCell ref="B50:J50"/>
    <mergeCell ref="B51:C51"/>
    <mergeCell ref="F51:I51"/>
    <mergeCell ref="A75:B75"/>
    <mergeCell ref="A76:B76"/>
    <mergeCell ref="A77:B77"/>
    <mergeCell ref="A60:B60"/>
    <mergeCell ref="A61:B61"/>
    <mergeCell ref="A62:B62"/>
    <mergeCell ref="B64:E64"/>
    <mergeCell ref="B65:J65"/>
    <mergeCell ref="B66:C66"/>
    <mergeCell ref="F66:I66"/>
    <mergeCell ref="F64:G64"/>
    <mergeCell ref="H64:J64"/>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26FFCF8661D443BF2B0BFDAFB0A050" ma:contentTypeVersion="12" ma:contentTypeDescription="Create a new document." ma:contentTypeScope="" ma:versionID="5a6e1d932ba49e7a64e3d1c5d59ace87">
  <xsd:schema xmlns:xsd="http://www.w3.org/2001/XMLSchema" xmlns:xs="http://www.w3.org/2001/XMLSchema" xmlns:p="http://schemas.microsoft.com/office/2006/metadata/properties" xmlns:ns2="8ff50b84-3618-4d30-97fe-4c9e2d844e01" xmlns:ns3="5495bbde-ab95-452d-a219-21ae983afc03" targetNamespace="http://schemas.microsoft.com/office/2006/metadata/properties" ma:root="true" ma:fieldsID="e991a7b8cf1cad7addfd57b31955e5ce" ns2:_="" ns3:_="">
    <xsd:import namespace="8ff50b84-3618-4d30-97fe-4c9e2d844e01"/>
    <xsd:import namespace="5495bbde-ab95-452d-a219-21ae983afc0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f50b84-3618-4d30-97fe-4c9e2d844e0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95bbde-ab95-452d-a219-21ae983afc0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4447F7-5476-4C28-A71A-129DAF17437D}">
  <ds:schemaRefs>
    <ds:schemaRef ds:uri="http://schemas.microsoft.com/sharepoint/v3/contenttype/forms"/>
  </ds:schemaRefs>
</ds:datastoreItem>
</file>

<file path=customXml/itemProps2.xml><?xml version="1.0" encoding="utf-8"?>
<ds:datastoreItem xmlns:ds="http://schemas.openxmlformats.org/officeDocument/2006/customXml" ds:itemID="{5AFC6CF9-3376-49AB-89C0-0C6F3479A4A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BF3F1B5-FD48-4BB8-A35C-212174FEFD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f50b84-3618-4d30-97fe-4c9e2d844e01"/>
    <ds:schemaRef ds:uri="5495bbde-ab95-452d-a219-21ae983af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NAP Goals &amp; dates</vt:lpstr>
      <vt:lpstr>Application</vt:lpstr>
      <vt:lpstr>Training</vt:lpstr>
      <vt:lpstr>Performance Expectations</vt:lpstr>
      <vt:lpstr>IDP</vt:lpstr>
      <vt:lpstr>Race Predictor Model</vt:lpstr>
      <vt:lpstr>Resources</vt:lpstr>
      <vt:lpstr>Log Book</vt:lpstr>
      <vt:lpstr>Kiwi Number Step Test</vt:lpstr>
      <vt:lpstr>Kick Test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Alastair Johnson</dc:creator>
  <cp:keywords/>
  <dc:description/>
  <cp:lastModifiedBy>Holly Fletcher</cp:lastModifiedBy>
  <cp:revision/>
  <dcterms:created xsi:type="dcterms:W3CDTF">2021-02-01T22:31:59Z</dcterms:created>
  <dcterms:modified xsi:type="dcterms:W3CDTF">2022-05-09T00:30:10Z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0x0101007026FFCF8661D443BF2B0BFDAFB0A050</vt:lpwstr>
  </property>
</Properties>
</file>